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ghavrawat/Downloads/"/>
    </mc:Choice>
  </mc:AlternateContent>
  <xr:revisionPtr revIDLastSave="0" documentId="13_ncr:1_{5B41E5A2-1DD1-4145-A327-4989F8ED6E4B}" xr6:coauthVersionLast="47" xr6:coauthVersionMax="47" xr10:uidLastSave="{00000000-0000-0000-0000-000000000000}"/>
  <bookViews>
    <workbookView xWindow="0" yWindow="600" windowWidth="28800" windowHeight="15940" activeTab="1" xr2:uid="{D3719996-0057-5A4F-8A43-95BF33235C27}"/>
  </bookViews>
  <sheets>
    <sheet name="Financials" sheetId="2" r:id="rId1"/>
    <sheet name="Historical FS" sheetId="3" r:id="rId2"/>
    <sheet name="Ratio Analysis" sheetId="6" r:id="rId3"/>
    <sheet name="Forecasting" sheetId="7" r:id="rId4"/>
    <sheet name="Data Sheet" sheetId="1" r:id="rId5"/>
    <sheet name="Cash Flow Data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7" l="1" a="1"/>
  <c r="I4" i="7" s="1"/>
  <c r="L5" i="7"/>
  <c r="L6" i="7" s="1"/>
  <c r="L7" i="7" s="1"/>
  <c r="L8" i="7" s="1"/>
  <c r="L9" i="7" s="1"/>
  <c r="L10" i="7" s="1"/>
  <c r="L11" i="7" s="1"/>
  <c r="L12" i="7" s="1"/>
  <c r="L13" i="7" s="1"/>
  <c r="L14" i="7" s="1"/>
  <c r="L2" i="7"/>
  <c r="G2" i="7"/>
  <c r="B2" i="7"/>
  <c r="G6" i="7"/>
  <c r="G7" i="7" s="1"/>
  <c r="G8" i="7" s="1"/>
  <c r="G9" i="7" s="1"/>
  <c r="G10" i="7" s="1"/>
  <c r="G11" i="7" s="1"/>
  <c r="G12" i="7" s="1"/>
  <c r="G13" i="7" s="1"/>
  <c r="G14" i="7" s="1"/>
  <c r="G15" i="7" s="1"/>
  <c r="G16" i="7" s="1"/>
  <c r="G17" i="7" s="1"/>
  <c r="G18" i="7" s="1"/>
  <c r="G5" i="7"/>
  <c r="E3" i="7"/>
  <c r="D3" i="7"/>
  <c r="J3" i="7"/>
  <c r="I3" i="7"/>
  <c r="D4" i="7" a="1"/>
  <c r="D4" i="7" s="1"/>
  <c r="C4" i="7"/>
  <c r="C5" i="7" s="1"/>
  <c r="C6" i="7" s="1"/>
  <c r="C7" i="7" s="1"/>
  <c r="C8" i="7" s="1"/>
  <c r="C9" i="7" s="1"/>
  <c r="C10" i="7" s="1"/>
  <c r="C11" i="7" s="1"/>
  <c r="C12" i="7" s="1"/>
  <c r="C13" i="7" s="1"/>
  <c r="C14" i="7" s="1"/>
  <c r="C15" i="7" s="1"/>
  <c r="C16" i="7" s="1"/>
  <c r="C17" i="7" s="1"/>
  <c r="C18" i="7" s="1"/>
  <c r="B5" i="7"/>
  <c r="B6" i="7" s="1"/>
  <c r="B7" i="7" s="1"/>
  <c r="B8" i="7" s="1"/>
  <c r="B9" i="7" s="1"/>
  <c r="B10" i="7" s="1"/>
  <c r="B11" i="7" s="1"/>
  <c r="B12" i="7" s="1"/>
  <c r="B13" i="7" s="1"/>
  <c r="B14" i="7" s="1"/>
  <c r="B15" i="7" s="1"/>
  <c r="B16" i="7" s="1"/>
  <c r="B17" i="7" s="1"/>
  <c r="B18" i="7" s="1"/>
  <c r="D18" i="7" s="1"/>
  <c r="C5" i="6"/>
  <c r="B2" i="6"/>
  <c r="L3" i="6"/>
  <c r="K3" i="6"/>
  <c r="J3" i="6"/>
  <c r="I3" i="6"/>
  <c r="H3" i="6"/>
  <c r="G3" i="6"/>
  <c r="F3" i="6"/>
  <c r="E3" i="6"/>
  <c r="D3" i="6"/>
  <c r="C3" i="6"/>
  <c r="H4" i="7" s="1"/>
  <c r="D71" i="3"/>
  <c r="E71" i="3"/>
  <c r="F71" i="3"/>
  <c r="G71" i="3"/>
  <c r="H71" i="3"/>
  <c r="I71" i="3"/>
  <c r="J71" i="3"/>
  <c r="K71" i="3"/>
  <c r="L71" i="3"/>
  <c r="C72" i="3"/>
  <c r="D72" i="3"/>
  <c r="E72" i="3"/>
  <c r="F72" i="3"/>
  <c r="G72" i="3"/>
  <c r="H72" i="3"/>
  <c r="I72" i="3"/>
  <c r="J72" i="3"/>
  <c r="K72" i="3"/>
  <c r="L72" i="3"/>
  <c r="C73" i="3"/>
  <c r="D73" i="3"/>
  <c r="E73" i="3"/>
  <c r="F73" i="3"/>
  <c r="G73" i="3"/>
  <c r="H73" i="3"/>
  <c r="I73" i="3"/>
  <c r="J73" i="3"/>
  <c r="K73" i="3"/>
  <c r="L73" i="3"/>
  <c r="C74" i="3"/>
  <c r="D74" i="3"/>
  <c r="E74" i="3"/>
  <c r="F74" i="3"/>
  <c r="G74" i="3"/>
  <c r="H74" i="3"/>
  <c r="I74" i="3"/>
  <c r="J74" i="3"/>
  <c r="K74" i="3"/>
  <c r="L74" i="3"/>
  <c r="C75" i="3"/>
  <c r="D75" i="3"/>
  <c r="E75" i="3"/>
  <c r="F75" i="3"/>
  <c r="G75" i="3"/>
  <c r="H75" i="3"/>
  <c r="I75" i="3"/>
  <c r="J75" i="3"/>
  <c r="K75" i="3"/>
  <c r="L75" i="3"/>
  <c r="C76" i="3"/>
  <c r="D76" i="3"/>
  <c r="E76" i="3"/>
  <c r="F76" i="3"/>
  <c r="G76" i="3"/>
  <c r="H76" i="3"/>
  <c r="I76" i="3"/>
  <c r="J76" i="3"/>
  <c r="K76" i="3"/>
  <c r="L76" i="3"/>
  <c r="C77" i="3"/>
  <c r="D77" i="3"/>
  <c r="E77" i="3"/>
  <c r="F77" i="3"/>
  <c r="G77" i="3"/>
  <c r="H77" i="3"/>
  <c r="I77" i="3"/>
  <c r="J77" i="3"/>
  <c r="K77" i="3"/>
  <c r="L77" i="3"/>
  <c r="C71" i="3"/>
  <c r="H5" i="7" l="1"/>
  <c r="M4" i="7"/>
  <c r="E7" i="7"/>
  <c r="J9" i="7"/>
  <c r="E8" i="7"/>
  <c r="J10" i="7"/>
  <c r="D15" i="7"/>
  <c r="E15" i="7" s="1"/>
  <c r="E9" i="7"/>
  <c r="J11" i="7"/>
  <c r="D16" i="7"/>
  <c r="E10" i="7"/>
  <c r="J12" i="7"/>
  <c r="D17" i="7"/>
  <c r="E17" i="7" s="1"/>
  <c r="E11" i="7"/>
  <c r="J5" i="7"/>
  <c r="J13" i="7"/>
  <c r="D14" i="7"/>
  <c r="E14" i="7" s="1"/>
  <c r="E12" i="7"/>
  <c r="J6" i="7"/>
  <c r="E5" i="7"/>
  <c r="E13" i="7"/>
  <c r="J7" i="7"/>
  <c r="E6" i="7"/>
  <c r="J8" i="7"/>
  <c r="L15" i="7"/>
  <c r="I15" i="7"/>
  <c r="I14" i="7"/>
  <c r="J14" i="7" s="1"/>
  <c r="I18" i="7"/>
  <c r="I16" i="7"/>
  <c r="I17" i="7"/>
  <c r="L104" i="3"/>
  <c r="K104" i="3"/>
  <c r="J104" i="3"/>
  <c r="I104" i="3"/>
  <c r="H104" i="3"/>
  <c r="G104" i="3"/>
  <c r="F104" i="3"/>
  <c r="E104" i="3"/>
  <c r="D104" i="3"/>
  <c r="C104" i="3"/>
  <c r="L103" i="3"/>
  <c r="K103" i="3"/>
  <c r="J103" i="3"/>
  <c r="I103" i="3"/>
  <c r="H103" i="3"/>
  <c r="G103" i="3"/>
  <c r="F103" i="3"/>
  <c r="E103" i="3"/>
  <c r="D103" i="3"/>
  <c r="C103" i="3"/>
  <c r="L102" i="3"/>
  <c r="K102" i="3"/>
  <c r="J102" i="3"/>
  <c r="I102" i="3"/>
  <c r="H102" i="3"/>
  <c r="G102" i="3"/>
  <c r="F102" i="3"/>
  <c r="E102" i="3"/>
  <c r="D102" i="3"/>
  <c r="C102" i="3"/>
  <c r="L101" i="3"/>
  <c r="K101" i="3"/>
  <c r="J101" i="3"/>
  <c r="I101" i="3"/>
  <c r="H101" i="3"/>
  <c r="G101" i="3"/>
  <c r="F101" i="3"/>
  <c r="E101" i="3"/>
  <c r="D101" i="3"/>
  <c r="C101" i="3"/>
  <c r="L100" i="3"/>
  <c r="K100" i="3"/>
  <c r="J100" i="3"/>
  <c r="I100" i="3"/>
  <c r="H100" i="3"/>
  <c r="G100" i="3"/>
  <c r="F100" i="3"/>
  <c r="E100" i="3"/>
  <c r="D100" i="3"/>
  <c r="C100" i="3"/>
  <c r="L99" i="3"/>
  <c r="K99" i="3"/>
  <c r="J99" i="3"/>
  <c r="I99" i="3"/>
  <c r="H99" i="3"/>
  <c r="G99" i="3"/>
  <c r="F99" i="3"/>
  <c r="E99" i="3"/>
  <c r="D99" i="3"/>
  <c r="C99" i="3"/>
  <c r="L98" i="3"/>
  <c r="K98" i="3"/>
  <c r="J98" i="3"/>
  <c r="I98" i="3"/>
  <c r="H98" i="3"/>
  <c r="G98" i="3"/>
  <c r="F98" i="3"/>
  <c r="E98" i="3"/>
  <c r="D98" i="3"/>
  <c r="C98" i="3"/>
  <c r="L97" i="3"/>
  <c r="K97" i="3"/>
  <c r="J97" i="3"/>
  <c r="I97" i="3"/>
  <c r="H97" i="3"/>
  <c r="G97" i="3"/>
  <c r="F97" i="3"/>
  <c r="E97" i="3"/>
  <c r="D97" i="3"/>
  <c r="C97" i="3"/>
  <c r="L96" i="3"/>
  <c r="K96" i="3"/>
  <c r="J96" i="3"/>
  <c r="I96" i="3"/>
  <c r="H96" i="3"/>
  <c r="G96" i="3"/>
  <c r="F96" i="3"/>
  <c r="E96" i="3"/>
  <c r="D96" i="3"/>
  <c r="C96" i="3"/>
  <c r="L92" i="3"/>
  <c r="K92" i="3"/>
  <c r="J92" i="3"/>
  <c r="I92" i="3"/>
  <c r="H92" i="3"/>
  <c r="G92" i="3"/>
  <c r="F92" i="3"/>
  <c r="E92" i="3"/>
  <c r="D92" i="3"/>
  <c r="C92" i="3"/>
  <c r="L91" i="3"/>
  <c r="K91" i="3"/>
  <c r="J91" i="3"/>
  <c r="I91" i="3"/>
  <c r="H91" i="3"/>
  <c r="G91" i="3"/>
  <c r="F91" i="3"/>
  <c r="E91" i="3"/>
  <c r="D91" i="3"/>
  <c r="C91" i="3"/>
  <c r="L90" i="3"/>
  <c r="K90" i="3"/>
  <c r="J90" i="3"/>
  <c r="I90" i="3"/>
  <c r="H90" i="3"/>
  <c r="G90" i="3"/>
  <c r="F90" i="3"/>
  <c r="E90" i="3"/>
  <c r="D90" i="3"/>
  <c r="C90" i="3"/>
  <c r="L89" i="3"/>
  <c r="K89" i="3"/>
  <c r="J89" i="3"/>
  <c r="I89" i="3"/>
  <c r="H89" i="3"/>
  <c r="G89" i="3"/>
  <c r="F89" i="3"/>
  <c r="E89" i="3"/>
  <c r="D89" i="3"/>
  <c r="C89" i="3"/>
  <c r="L88" i="3"/>
  <c r="K88" i="3"/>
  <c r="J88" i="3"/>
  <c r="I88" i="3"/>
  <c r="H88" i="3"/>
  <c r="G88" i="3"/>
  <c r="F88" i="3"/>
  <c r="E88" i="3"/>
  <c r="D88" i="3"/>
  <c r="C88" i="3"/>
  <c r="L87" i="3"/>
  <c r="K87" i="3"/>
  <c r="J87" i="3"/>
  <c r="I87" i="3"/>
  <c r="H87" i="3"/>
  <c r="G87" i="3"/>
  <c r="F87" i="3"/>
  <c r="E87" i="3"/>
  <c r="D87" i="3"/>
  <c r="C87" i="3"/>
  <c r="L86" i="3"/>
  <c r="K86" i="3"/>
  <c r="J86" i="3"/>
  <c r="I86" i="3"/>
  <c r="H86" i="3"/>
  <c r="G86" i="3"/>
  <c r="F86" i="3"/>
  <c r="E86" i="3"/>
  <c r="D86" i="3"/>
  <c r="C86" i="3"/>
  <c r="L85" i="3"/>
  <c r="K85" i="3"/>
  <c r="J85" i="3"/>
  <c r="I85" i="3"/>
  <c r="H85" i="3"/>
  <c r="G85" i="3"/>
  <c r="F85" i="3"/>
  <c r="E85" i="3"/>
  <c r="D85" i="3"/>
  <c r="C85" i="3"/>
  <c r="L84" i="3"/>
  <c r="K84" i="3"/>
  <c r="J84" i="3"/>
  <c r="I84" i="3"/>
  <c r="H84" i="3"/>
  <c r="G84" i="3"/>
  <c r="F84" i="3"/>
  <c r="E84" i="3"/>
  <c r="D84" i="3"/>
  <c r="C84" i="3"/>
  <c r="L83" i="3"/>
  <c r="K83" i="3"/>
  <c r="J83" i="3"/>
  <c r="I83" i="3"/>
  <c r="H83" i="3"/>
  <c r="G83" i="3"/>
  <c r="F83" i="3"/>
  <c r="E83" i="3"/>
  <c r="D83" i="3"/>
  <c r="C83" i="3"/>
  <c r="L82" i="3"/>
  <c r="K82" i="3"/>
  <c r="J82" i="3"/>
  <c r="I82" i="3"/>
  <c r="H82" i="3"/>
  <c r="G82" i="3"/>
  <c r="F82" i="3"/>
  <c r="E82" i="3"/>
  <c r="D82" i="3"/>
  <c r="C82" i="3"/>
  <c r="L81" i="3"/>
  <c r="K81" i="3"/>
  <c r="J81" i="3"/>
  <c r="I81" i="3"/>
  <c r="H81" i="3"/>
  <c r="G81" i="3"/>
  <c r="F81" i="3"/>
  <c r="E81" i="3"/>
  <c r="D81" i="3"/>
  <c r="C81" i="3"/>
  <c r="H78" i="3"/>
  <c r="E78" i="3"/>
  <c r="L57" i="3"/>
  <c r="K57" i="3"/>
  <c r="J57" i="3"/>
  <c r="I57" i="3"/>
  <c r="H57" i="3"/>
  <c r="G57" i="3"/>
  <c r="F57" i="3"/>
  <c r="E57" i="3"/>
  <c r="D57" i="3"/>
  <c r="C57" i="3"/>
  <c r="L62" i="3"/>
  <c r="K62" i="3"/>
  <c r="J62" i="3"/>
  <c r="I62" i="3"/>
  <c r="H62" i="3"/>
  <c r="G62" i="3"/>
  <c r="F62" i="3"/>
  <c r="E62" i="3"/>
  <c r="D62" i="3"/>
  <c r="C62" i="3"/>
  <c r="L61" i="3"/>
  <c r="K61" i="3"/>
  <c r="J61" i="3"/>
  <c r="I61" i="3"/>
  <c r="H61" i="3"/>
  <c r="G61" i="3"/>
  <c r="F61" i="3"/>
  <c r="E61" i="3"/>
  <c r="D61" i="3"/>
  <c r="C61" i="3"/>
  <c r="L60" i="3"/>
  <c r="K60" i="3"/>
  <c r="J60" i="3"/>
  <c r="I60" i="3"/>
  <c r="H60" i="3"/>
  <c r="G60" i="3"/>
  <c r="F60" i="3"/>
  <c r="E60" i="3"/>
  <c r="D60" i="3"/>
  <c r="C60" i="3"/>
  <c r="L56" i="3"/>
  <c r="K56" i="3"/>
  <c r="J56" i="3"/>
  <c r="I56" i="3"/>
  <c r="H56" i="3"/>
  <c r="G56" i="3"/>
  <c r="F56" i="3"/>
  <c r="E56" i="3"/>
  <c r="D56" i="3"/>
  <c r="C56" i="3"/>
  <c r="L55" i="3"/>
  <c r="K55" i="3"/>
  <c r="J55" i="3"/>
  <c r="I55" i="3"/>
  <c r="H55" i="3"/>
  <c r="G55" i="3"/>
  <c r="F55" i="3"/>
  <c r="E55" i="3"/>
  <c r="D55" i="3"/>
  <c r="C55" i="3"/>
  <c r="L54" i="3"/>
  <c r="K54" i="3"/>
  <c r="J54" i="3"/>
  <c r="I54" i="3"/>
  <c r="H54" i="3"/>
  <c r="G54" i="3"/>
  <c r="F54" i="3"/>
  <c r="E54" i="3"/>
  <c r="D54" i="3"/>
  <c r="C54" i="3"/>
  <c r="L52" i="3"/>
  <c r="K52" i="3"/>
  <c r="J52" i="3"/>
  <c r="I52" i="3"/>
  <c r="H52" i="3"/>
  <c r="G52" i="3"/>
  <c r="F52" i="3"/>
  <c r="E52" i="3"/>
  <c r="D52" i="3"/>
  <c r="C52" i="3"/>
  <c r="L51" i="3"/>
  <c r="K51" i="3"/>
  <c r="J51" i="3"/>
  <c r="I51" i="3"/>
  <c r="H51" i="3"/>
  <c r="G51" i="3"/>
  <c r="F51" i="3"/>
  <c r="E51" i="3"/>
  <c r="D51" i="3"/>
  <c r="C51" i="3"/>
  <c r="L50" i="3"/>
  <c r="K50" i="3"/>
  <c r="J50" i="3"/>
  <c r="I50" i="3"/>
  <c r="H50" i="3"/>
  <c r="G50" i="3"/>
  <c r="F50" i="3"/>
  <c r="E50" i="3"/>
  <c r="D50" i="3"/>
  <c r="C50" i="3"/>
  <c r="L49" i="3"/>
  <c r="K49" i="3"/>
  <c r="J49" i="3"/>
  <c r="I49" i="3"/>
  <c r="H49" i="3"/>
  <c r="G49" i="3"/>
  <c r="F49" i="3"/>
  <c r="E49" i="3"/>
  <c r="D49" i="3"/>
  <c r="C49" i="3"/>
  <c r="L48" i="3"/>
  <c r="K48" i="3"/>
  <c r="J48" i="3"/>
  <c r="I48" i="3"/>
  <c r="H48" i="3"/>
  <c r="G48" i="3"/>
  <c r="F48" i="3"/>
  <c r="E48" i="3"/>
  <c r="D48" i="3"/>
  <c r="C48" i="3"/>
  <c r="L36" i="3"/>
  <c r="L41" i="3" s="1"/>
  <c r="K36" i="3"/>
  <c r="K41" i="3" s="1"/>
  <c r="J36" i="3"/>
  <c r="J41" i="3" s="1"/>
  <c r="I36" i="3"/>
  <c r="I41" i="3" s="1"/>
  <c r="I9" i="6" s="1"/>
  <c r="H36" i="3"/>
  <c r="H41" i="3" s="1"/>
  <c r="H9" i="6" s="1"/>
  <c r="G36" i="3"/>
  <c r="G41" i="3" s="1"/>
  <c r="G9" i="6" s="1"/>
  <c r="F36" i="3"/>
  <c r="F41" i="3" s="1"/>
  <c r="F9" i="6" s="1"/>
  <c r="E36" i="3"/>
  <c r="E41" i="3" s="1"/>
  <c r="D36" i="3"/>
  <c r="D41" i="3" s="1"/>
  <c r="D9" i="6" s="1"/>
  <c r="C36" i="3"/>
  <c r="C41" i="3" s="1"/>
  <c r="M30" i="3"/>
  <c r="L30" i="3"/>
  <c r="K30" i="3"/>
  <c r="J30" i="3"/>
  <c r="I30" i="3"/>
  <c r="H30" i="3"/>
  <c r="G30" i="3"/>
  <c r="F30" i="3"/>
  <c r="E30" i="3"/>
  <c r="D30" i="3"/>
  <c r="C30" i="3"/>
  <c r="M24" i="3"/>
  <c r="L24" i="3"/>
  <c r="K24" i="3"/>
  <c r="J24" i="3"/>
  <c r="I24" i="3"/>
  <c r="H24" i="3"/>
  <c r="G24" i="3"/>
  <c r="F24" i="3"/>
  <c r="E24" i="3"/>
  <c r="D24" i="3"/>
  <c r="C24" i="3"/>
  <c r="M21" i="3"/>
  <c r="L21" i="3"/>
  <c r="K21" i="3"/>
  <c r="J21" i="3"/>
  <c r="I21" i="3"/>
  <c r="H21" i="3"/>
  <c r="G21" i="3"/>
  <c r="F21" i="3"/>
  <c r="E21" i="3"/>
  <c r="D21" i="3"/>
  <c r="C21" i="3"/>
  <c r="M9" i="3"/>
  <c r="L9" i="3"/>
  <c r="K9" i="3"/>
  <c r="J9" i="3"/>
  <c r="I9" i="3"/>
  <c r="H9" i="3"/>
  <c r="G9" i="3"/>
  <c r="F9" i="3"/>
  <c r="E9" i="3"/>
  <c r="D9" i="3"/>
  <c r="C9" i="3"/>
  <c r="M18" i="3"/>
  <c r="L15" i="3"/>
  <c r="K15" i="3"/>
  <c r="J15" i="3"/>
  <c r="I15" i="3"/>
  <c r="H15" i="3"/>
  <c r="G15" i="3"/>
  <c r="F15" i="3"/>
  <c r="E15" i="3"/>
  <c r="D15" i="3"/>
  <c r="C15" i="3"/>
  <c r="M6" i="3"/>
  <c r="L6" i="3"/>
  <c r="K6" i="3"/>
  <c r="J6" i="3"/>
  <c r="I6" i="3"/>
  <c r="H6" i="3"/>
  <c r="G6" i="3"/>
  <c r="F6" i="3"/>
  <c r="E6" i="3"/>
  <c r="D6" i="3"/>
  <c r="C6" i="3"/>
  <c r="K3" i="3"/>
  <c r="L3" i="3"/>
  <c r="J3" i="3"/>
  <c r="I3" i="3"/>
  <c r="H3" i="3"/>
  <c r="G3" i="3"/>
  <c r="F3" i="3"/>
  <c r="E3" i="3"/>
  <c r="D3" i="3"/>
  <c r="C3" i="3"/>
  <c r="B2" i="3"/>
  <c r="J18" i="7" l="1"/>
  <c r="J16" i="7"/>
  <c r="C30" i="6"/>
  <c r="C29" i="6"/>
  <c r="C28" i="6"/>
  <c r="C31" i="6"/>
  <c r="C27" i="6"/>
  <c r="H30" i="6"/>
  <c r="H29" i="6"/>
  <c r="H35" i="6" s="1"/>
  <c r="H28" i="6"/>
  <c r="H34" i="6" s="1"/>
  <c r="H27" i="6"/>
  <c r="H33" i="6" s="1"/>
  <c r="H36" i="6" s="1"/>
  <c r="H31" i="6"/>
  <c r="I30" i="6"/>
  <c r="I31" i="6"/>
  <c r="I29" i="6"/>
  <c r="I35" i="6" s="1"/>
  <c r="I28" i="6"/>
  <c r="I34" i="6" s="1"/>
  <c r="I27" i="6"/>
  <c r="I33" i="6" s="1"/>
  <c r="J17" i="7"/>
  <c r="D27" i="6"/>
  <c r="D33" i="6" s="1"/>
  <c r="D29" i="6"/>
  <c r="D35" i="6" s="1"/>
  <c r="D31" i="6"/>
  <c r="D30" i="6"/>
  <c r="D28" i="6"/>
  <c r="D34" i="6" s="1"/>
  <c r="L27" i="6"/>
  <c r="L33" i="6" s="1"/>
  <c r="L30" i="6"/>
  <c r="L29" i="6"/>
  <c r="L35" i="6" s="1"/>
  <c r="L31" i="6"/>
  <c r="L28" i="6"/>
  <c r="L34" i="6" s="1"/>
  <c r="E28" i="6"/>
  <c r="E34" i="6" s="1"/>
  <c r="E31" i="6"/>
  <c r="E30" i="6"/>
  <c r="E29" i="6"/>
  <c r="E35" i="6" s="1"/>
  <c r="E27" i="6"/>
  <c r="E33" i="6" s="1"/>
  <c r="J29" i="6"/>
  <c r="J35" i="6" s="1"/>
  <c r="J31" i="6"/>
  <c r="J28" i="6"/>
  <c r="J34" i="6" s="1"/>
  <c r="J27" i="6"/>
  <c r="J33" i="6" s="1"/>
  <c r="J36" i="6" s="1"/>
  <c r="J30" i="6"/>
  <c r="J9" i="6"/>
  <c r="K28" i="6"/>
  <c r="K34" i="6" s="1"/>
  <c r="K30" i="6"/>
  <c r="K27" i="6"/>
  <c r="K33" i="6" s="1"/>
  <c r="K36" i="6" s="1"/>
  <c r="K31" i="6"/>
  <c r="K29" i="6"/>
  <c r="K35" i="6" s="1"/>
  <c r="J15" i="7"/>
  <c r="L9" i="6"/>
  <c r="H63" i="3"/>
  <c r="E16" i="7"/>
  <c r="K9" i="6"/>
  <c r="F28" i="6"/>
  <c r="F34" i="6" s="1"/>
  <c r="F27" i="6"/>
  <c r="F33" i="6" s="1"/>
  <c r="F31" i="6"/>
  <c r="F30" i="6"/>
  <c r="F29" i="6"/>
  <c r="F35" i="6" s="1"/>
  <c r="G31" i="6"/>
  <c r="G30" i="6"/>
  <c r="G27" i="6"/>
  <c r="G33" i="6" s="1"/>
  <c r="G29" i="6"/>
  <c r="G35" i="6" s="1"/>
  <c r="G28" i="6"/>
  <c r="G34" i="6" s="1"/>
  <c r="E9" i="6"/>
  <c r="N9" i="6" s="1"/>
  <c r="E40" i="6"/>
  <c r="E38" i="6"/>
  <c r="H6" i="7"/>
  <c r="M5" i="7"/>
  <c r="H40" i="6"/>
  <c r="H38" i="6"/>
  <c r="E18" i="7"/>
  <c r="L16" i="7"/>
  <c r="I63" i="3"/>
  <c r="H25" i="3"/>
  <c r="H18" i="6" s="1"/>
  <c r="D63" i="3"/>
  <c r="L63" i="3"/>
  <c r="E63" i="3"/>
  <c r="C58" i="3"/>
  <c r="F63" i="3"/>
  <c r="J63" i="3"/>
  <c r="G63" i="3"/>
  <c r="C63" i="3"/>
  <c r="K63" i="3"/>
  <c r="K58" i="3"/>
  <c r="K65" i="3" s="1"/>
  <c r="K67" i="3" s="1"/>
  <c r="E93" i="3"/>
  <c r="E105" i="3"/>
  <c r="C105" i="3"/>
  <c r="G105" i="3"/>
  <c r="D58" i="3"/>
  <c r="L58" i="3"/>
  <c r="E58" i="3"/>
  <c r="F58" i="3"/>
  <c r="H93" i="3"/>
  <c r="H105" i="3"/>
  <c r="H107" i="3" s="1"/>
  <c r="G58" i="3"/>
  <c r="H58" i="3"/>
  <c r="G12" i="3"/>
  <c r="G13" i="3" s="1"/>
  <c r="G11" i="6" s="1"/>
  <c r="I58" i="3"/>
  <c r="I65" i="3" s="1"/>
  <c r="I67" i="3" s="1"/>
  <c r="J58" i="3"/>
  <c r="F78" i="3"/>
  <c r="F93" i="3"/>
  <c r="F105" i="3"/>
  <c r="D105" i="3"/>
  <c r="G78" i="3"/>
  <c r="G93" i="3"/>
  <c r="J78" i="3"/>
  <c r="J93" i="3"/>
  <c r="I78" i="3"/>
  <c r="I93" i="3"/>
  <c r="C78" i="3"/>
  <c r="K78" i="3"/>
  <c r="C93" i="3"/>
  <c r="K93" i="3"/>
  <c r="D78" i="3"/>
  <c r="L78" i="3"/>
  <c r="D93" i="3"/>
  <c r="L93" i="3"/>
  <c r="K105" i="3"/>
  <c r="L105" i="3"/>
  <c r="J105" i="3"/>
  <c r="I105" i="3"/>
  <c r="M25" i="3"/>
  <c r="I16" i="3"/>
  <c r="I17" i="6" s="1"/>
  <c r="H22" i="3"/>
  <c r="K12" i="3"/>
  <c r="K13" i="3" s="1"/>
  <c r="K11" i="6" s="1"/>
  <c r="D12" i="3"/>
  <c r="D18" i="3" s="1"/>
  <c r="D25" i="6" s="1"/>
  <c r="J22" i="3"/>
  <c r="C12" i="3"/>
  <c r="C13" i="3" s="1"/>
  <c r="C11" i="6" s="1"/>
  <c r="I22" i="3"/>
  <c r="J16" i="3"/>
  <c r="J17" i="6" s="1"/>
  <c r="L7" i="3"/>
  <c r="L5" i="6" s="1"/>
  <c r="E22" i="3"/>
  <c r="M22" i="3"/>
  <c r="J25" i="3"/>
  <c r="J18" i="6" s="1"/>
  <c r="I25" i="3"/>
  <c r="I18" i="6" s="1"/>
  <c r="D25" i="3"/>
  <c r="D18" i="6" s="1"/>
  <c r="L25" i="3"/>
  <c r="L18" i="6" s="1"/>
  <c r="D22" i="3"/>
  <c r="L22" i="3"/>
  <c r="E25" i="3"/>
  <c r="E18" i="6" s="1"/>
  <c r="F25" i="3"/>
  <c r="F18" i="6" s="1"/>
  <c r="F22" i="3"/>
  <c r="G22" i="3"/>
  <c r="G25" i="3"/>
  <c r="G18" i="6" s="1"/>
  <c r="M27" i="3"/>
  <c r="M28" i="3" s="1"/>
  <c r="J10" i="3"/>
  <c r="K25" i="3"/>
  <c r="K18" i="6" s="1"/>
  <c r="I12" i="3"/>
  <c r="I13" i="3" s="1"/>
  <c r="I11" i="6" s="1"/>
  <c r="J12" i="3"/>
  <c r="J13" i="3" s="1"/>
  <c r="J11" i="6" s="1"/>
  <c r="D16" i="3"/>
  <c r="D17" i="6" s="1"/>
  <c r="L16" i="3"/>
  <c r="L17" i="6" s="1"/>
  <c r="M36" i="3"/>
  <c r="M41" i="3" s="1"/>
  <c r="C25" i="3"/>
  <c r="C18" i="6" s="1"/>
  <c r="M7" i="3"/>
  <c r="K22" i="3"/>
  <c r="D7" i="3"/>
  <c r="D5" i="6" s="1"/>
  <c r="K10" i="3"/>
  <c r="C22" i="3"/>
  <c r="K7" i="3"/>
  <c r="K5" i="6" s="1"/>
  <c r="D10" i="3"/>
  <c r="L10" i="3"/>
  <c r="H16" i="3"/>
  <c r="H17" i="6" s="1"/>
  <c r="F7" i="3"/>
  <c r="F5" i="6" s="1"/>
  <c r="E16" i="3"/>
  <c r="E17" i="6" s="1"/>
  <c r="F12" i="3"/>
  <c r="F13" i="3" s="1"/>
  <c r="F11" i="6" s="1"/>
  <c r="F16" i="3"/>
  <c r="F17" i="6" s="1"/>
  <c r="M19" i="3"/>
  <c r="H12" i="3"/>
  <c r="H13" i="3" s="1"/>
  <c r="H11" i="6" s="1"/>
  <c r="E7" i="3"/>
  <c r="E5" i="6" s="1"/>
  <c r="M12" i="3"/>
  <c r="M13" i="3" s="1"/>
  <c r="G16" i="3"/>
  <c r="G17" i="6" s="1"/>
  <c r="I7" i="3"/>
  <c r="I5" i="6" s="1"/>
  <c r="J7" i="3"/>
  <c r="J5" i="6" s="1"/>
  <c r="E10" i="3"/>
  <c r="E12" i="3"/>
  <c r="E13" i="3" s="1"/>
  <c r="E11" i="6" s="1"/>
  <c r="G7" i="3"/>
  <c r="G5" i="6" s="1"/>
  <c r="C16" i="3"/>
  <c r="C17" i="6" s="1"/>
  <c r="K16" i="3"/>
  <c r="K17" i="6" s="1"/>
  <c r="L12" i="3"/>
  <c r="L13" i="3" s="1"/>
  <c r="L11" i="6" s="1"/>
  <c r="M10" i="3"/>
  <c r="G10" i="3"/>
  <c r="I10" i="3"/>
  <c r="C10" i="3"/>
  <c r="F10" i="3"/>
  <c r="H10" i="3"/>
  <c r="H7" i="3"/>
  <c r="H5" i="6" s="1"/>
  <c r="O5" i="6" l="1"/>
  <c r="N5" i="6"/>
  <c r="I40" i="6"/>
  <c r="I39" i="6"/>
  <c r="I38" i="6"/>
  <c r="F38" i="6"/>
  <c r="F39" i="6"/>
  <c r="F40" i="6"/>
  <c r="L38" i="6"/>
  <c r="L40" i="6"/>
  <c r="N17" i="6"/>
  <c r="O17" i="6"/>
  <c r="K39" i="6"/>
  <c r="K40" i="6"/>
  <c r="K38" i="6"/>
  <c r="C33" i="6"/>
  <c r="N27" i="6"/>
  <c r="O27" i="6"/>
  <c r="D21" i="6"/>
  <c r="D6" i="6"/>
  <c r="D13" i="6"/>
  <c r="D19" i="6" s="1"/>
  <c r="C40" i="6"/>
  <c r="C38" i="6"/>
  <c r="D36" i="6"/>
  <c r="O31" i="6"/>
  <c r="N31" i="6"/>
  <c r="D38" i="6"/>
  <c r="D40" i="6"/>
  <c r="J38" i="6"/>
  <c r="J40" i="6"/>
  <c r="O9" i="6"/>
  <c r="C34" i="6"/>
  <c r="N28" i="6"/>
  <c r="O28" i="6"/>
  <c r="N18" i="6"/>
  <c r="O18" i="6"/>
  <c r="F36" i="6"/>
  <c r="E36" i="6"/>
  <c r="C35" i="6"/>
  <c r="N29" i="6"/>
  <c r="O29" i="6"/>
  <c r="N11" i="6"/>
  <c r="G40" i="6"/>
  <c r="G38" i="6"/>
  <c r="H65" i="3"/>
  <c r="H7" i="7"/>
  <c r="M6" i="7"/>
  <c r="G36" i="6"/>
  <c r="L36" i="6"/>
  <c r="I36" i="6"/>
  <c r="N30" i="6"/>
  <c r="O30" i="6"/>
  <c r="L17" i="7"/>
  <c r="D65" i="3"/>
  <c r="D67" i="3" s="1"/>
  <c r="E107" i="3"/>
  <c r="F65" i="3"/>
  <c r="F67" i="3" s="1"/>
  <c r="J65" i="3"/>
  <c r="J67" i="3" s="1"/>
  <c r="E65" i="3"/>
  <c r="L65" i="3"/>
  <c r="L67" i="3" s="1"/>
  <c r="G65" i="3"/>
  <c r="G67" i="3" s="1"/>
  <c r="J107" i="3"/>
  <c r="L107" i="3"/>
  <c r="C65" i="3"/>
  <c r="C67" i="3" s="1"/>
  <c r="K107" i="3"/>
  <c r="G107" i="3"/>
  <c r="C107" i="3"/>
  <c r="G18" i="3"/>
  <c r="J18" i="3"/>
  <c r="I107" i="3"/>
  <c r="D107" i="3"/>
  <c r="F107" i="3"/>
  <c r="D13" i="3"/>
  <c r="D11" i="6" s="1"/>
  <c r="O11" i="6" s="1"/>
  <c r="K18" i="3"/>
  <c r="M33" i="3"/>
  <c r="M34" i="3" s="1"/>
  <c r="C18" i="3"/>
  <c r="M31" i="3"/>
  <c r="I18" i="3"/>
  <c r="L18" i="3"/>
  <c r="H18" i="3"/>
  <c r="F18" i="3"/>
  <c r="D19" i="3"/>
  <c r="D12" i="6" s="1"/>
  <c r="D27" i="3"/>
  <c r="E18" i="3"/>
  <c r="K19" i="3" l="1"/>
  <c r="K12" i="6" s="1"/>
  <c r="K21" i="6"/>
  <c r="K6" i="6"/>
  <c r="K13" i="6"/>
  <c r="K19" i="6" s="1"/>
  <c r="K25" i="6"/>
  <c r="J39" i="6"/>
  <c r="C39" i="6"/>
  <c r="L21" i="6"/>
  <c r="L6" i="6"/>
  <c r="L13" i="6"/>
  <c r="L19" i="6" s="1"/>
  <c r="L25" i="6"/>
  <c r="H13" i="6"/>
  <c r="H19" i="6" s="1"/>
  <c r="H21" i="6"/>
  <c r="H6" i="6"/>
  <c r="H25" i="6"/>
  <c r="I19" i="3"/>
  <c r="I12" i="6" s="1"/>
  <c r="I21" i="6"/>
  <c r="I13" i="6"/>
  <c r="I19" i="6" s="1"/>
  <c r="I6" i="6"/>
  <c r="I25" i="6"/>
  <c r="H8" i="7"/>
  <c r="M7" i="7"/>
  <c r="L39" i="6"/>
  <c r="O35" i="6"/>
  <c r="N35" i="6"/>
  <c r="E21" i="6"/>
  <c r="E13" i="6"/>
  <c r="E19" i="6" s="1"/>
  <c r="E6" i="6"/>
  <c r="E25" i="6"/>
  <c r="C19" i="3"/>
  <c r="C12" i="6" s="1"/>
  <c r="C13" i="6"/>
  <c r="C21" i="6"/>
  <c r="C25" i="6"/>
  <c r="G27" i="3"/>
  <c r="G13" i="6"/>
  <c r="G19" i="6" s="1"/>
  <c r="G6" i="6"/>
  <c r="G21" i="6"/>
  <c r="G25" i="6"/>
  <c r="F6" i="6"/>
  <c r="O6" i="6" s="1"/>
  <c r="F13" i="6"/>
  <c r="F19" i="6" s="1"/>
  <c r="F21" i="6"/>
  <c r="F25" i="6"/>
  <c r="D39" i="6"/>
  <c r="N40" i="6"/>
  <c r="O40" i="6"/>
  <c r="O34" i="6"/>
  <c r="N34" i="6"/>
  <c r="J19" i="3"/>
  <c r="J12" i="6" s="1"/>
  <c r="J13" i="6"/>
  <c r="J19" i="6" s="1"/>
  <c r="J21" i="6"/>
  <c r="J6" i="6"/>
  <c r="J25" i="6"/>
  <c r="H67" i="3"/>
  <c r="H39" i="6"/>
  <c r="E67" i="3"/>
  <c r="E39" i="6"/>
  <c r="G39" i="6"/>
  <c r="N38" i="6"/>
  <c r="O38" i="6"/>
  <c r="C36" i="6"/>
  <c r="O33" i="6"/>
  <c r="N33" i="6"/>
  <c r="L18" i="7"/>
  <c r="K27" i="3"/>
  <c r="K28" i="3" s="1"/>
  <c r="K14" i="6" s="1"/>
  <c r="J27" i="3"/>
  <c r="J7" i="6" s="1"/>
  <c r="G19" i="3"/>
  <c r="G12" i="6" s="1"/>
  <c r="M38" i="3"/>
  <c r="C27" i="3"/>
  <c r="C33" i="3" s="1"/>
  <c r="C23" i="6" s="1"/>
  <c r="I27" i="3"/>
  <c r="K31" i="3"/>
  <c r="F19" i="3"/>
  <c r="F12" i="6" s="1"/>
  <c r="F27" i="3"/>
  <c r="F7" i="6" s="1"/>
  <c r="H19" i="3"/>
  <c r="H12" i="6" s="1"/>
  <c r="H27" i="3"/>
  <c r="H7" i="6" s="1"/>
  <c r="G33" i="3"/>
  <c r="G28" i="3"/>
  <c r="G14" i="6" s="1"/>
  <c r="G31" i="3"/>
  <c r="L19" i="3"/>
  <c r="L12" i="6" s="1"/>
  <c r="L27" i="3"/>
  <c r="L7" i="6" s="1"/>
  <c r="E19" i="3"/>
  <c r="E12" i="6" s="1"/>
  <c r="E27" i="3"/>
  <c r="E7" i="6" s="1"/>
  <c r="D28" i="3"/>
  <c r="D14" i="6" s="1"/>
  <c r="D33" i="3"/>
  <c r="D31" i="3"/>
  <c r="N21" i="6" l="1"/>
  <c r="O21" i="6"/>
  <c r="M44" i="3"/>
  <c r="C19" i="6"/>
  <c r="O13" i="6"/>
  <c r="N13" i="6"/>
  <c r="N36" i="6"/>
  <c r="O36" i="6"/>
  <c r="N6" i="6"/>
  <c r="N39" i="6"/>
  <c r="O39" i="6"/>
  <c r="O12" i="6"/>
  <c r="N12" i="6"/>
  <c r="H9" i="7"/>
  <c r="M8" i="7"/>
  <c r="K7" i="6"/>
  <c r="M42" i="3"/>
  <c r="G7" i="6"/>
  <c r="D8" i="6"/>
  <c r="D23" i="6"/>
  <c r="J31" i="3"/>
  <c r="K33" i="3"/>
  <c r="J33" i="3"/>
  <c r="G23" i="6"/>
  <c r="J28" i="3"/>
  <c r="J14" i="6" s="1"/>
  <c r="I31" i="3"/>
  <c r="I7" i="6"/>
  <c r="D7" i="6"/>
  <c r="N25" i="6"/>
  <c r="O25" i="6"/>
  <c r="I28" i="3"/>
  <c r="I14" i="6" s="1"/>
  <c r="I33" i="3"/>
  <c r="C28" i="3"/>
  <c r="C14" i="6" s="1"/>
  <c r="C31" i="3"/>
  <c r="J34" i="3"/>
  <c r="J15" i="6" s="1"/>
  <c r="J38" i="3"/>
  <c r="E28" i="3"/>
  <c r="E14" i="6" s="1"/>
  <c r="E33" i="3"/>
  <c r="E31" i="3"/>
  <c r="F33" i="3"/>
  <c r="F28" i="3"/>
  <c r="F14" i="6" s="1"/>
  <c r="F31" i="3"/>
  <c r="G38" i="3"/>
  <c r="G34" i="3"/>
  <c r="G15" i="6" s="1"/>
  <c r="H33" i="3"/>
  <c r="H28" i="3"/>
  <c r="H14" i="6" s="1"/>
  <c r="H31" i="3"/>
  <c r="C34" i="3"/>
  <c r="C15" i="6" s="1"/>
  <c r="C38" i="3"/>
  <c r="L33" i="3"/>
  <c r="L28" i="3"/>
  <c r="L14" i="6" s="1"/>
  <c r="L31" i="3"/>
  <c r="D34" i="3"/>
  <c r="D15" i="6" s="1"/>
  <c r="D38" i="3"/>
  <c r="K34" i="3"/>
  <c r="K15" i="6" s="1"/>
  <c r="K38" i="3"/>
  <c r="H10" i="7" l="1"/>
  <c r="M9" i="7"/>
  <c r="O14" i="6"/>
  <c r="N14" i="6"/>
  <c r="F23" i="6"/>
  <c r="F8" i="6"/>
  <c r="I34" i="3"/>
  <c r="I15" i="6" s="1"/>
  <c r="I23" i="6"/>
  <c r="I8" i="6"/>
  <c r="G8" i="6"/>
  <c r="N7" i="6"/>
  <c r="O7" i="6"/>
  <c r="E23" i="6"/>
  <c r="O23" i="6" s="1"/>
  <c r="E8" i="6"/>
  <c r="N8" i="6" s="1"/>
  <c r="J8" i="6"/>
  <c r="J23" i="6"/>
  <c r="L8" i="6"/>
  <c r="L23" i="6"/>
  <c r="N19" i="6"/>
  <c r="O19" i="6"/>
  <c r="H23" i="6"/>
  <c r="H8" i="6"/>
  <c r="K8" i="6"/>
  <c r="K23" i="6"/>
  <c r="N23" i="6" s="1"/>
  <c r="I38" i="3"/>
  <c r="J39" i="3" s="1"/>
  <c r="K39" i="3"/>
  <c r="K42" i="3"/>
  <c r="K44" i="3" s="1"/>
  <c r="K22" i="6" s="1"/>
  <c r="K24" i="6" s="1"/>
  <c r="C42" i="3"/>
  <c r="C44" i="3" s="1"/>
  <c r="C22" i="6" s="1"/>
  <c r="D39" i="3"/>
  <c r="D42" i="3"/>
  <c r="D44" i="3" s="1"/>
  <c r="D22" i="6" s="1"/>
  <c r="D24" i="6" s="1"/>
  <c r="J42" i="3"/>
  <c r="J44" i="3" s="1"/>
  <c r="J22" i="6" s="1"/>
  <c r="J24" i="6" s="1"/>
  <c r="G42" i="3"/>
  <c r="G44" i="3" s="1"/>
  <c r="G22" i="6" s="1"/>
  <c r="G24" i="6" s="1"/>
  <c r="L34" i="3"/>
  <c r="L15" i="6" s="1"/>
  <c r="L38" i="3"/>
  <c r="F34" i="3"/>
  <c r="F15" i="6" s="1"/>
  <c r="F38" i="3"/>
  <c r="G39" i="3" s="1"/>
  <c r="E34" i="3"/>
  <c r="E15" i="6" s="1"/>
  <c r="N15" i="6" s="1"/>
  <c r="E38" i="3"/>
  <c r="H38" i="3"/>
  <c r="H34" i="3"/>
  <c r="H15" i="6" s="1"/>
  <c r="N4" i="7" l="1" a="1"/>
  <c r="I42" i="3"/>
  <c r="I44" i="3" s="1"/>
  <c r="I22" i="6" s="1"/>
  <c r="I24" i="6" s="1"/>
  <c r="O15" i="6"/>
  <c r="C24" i="6"/>
  <c r="O8" i="6"/>
  <c r="H11" i="7"/>
  <c r="M10" i="7"/>
  <c r="H39" i="3"/>
  <c r="H42" i="3"/>
  <c r="H44" i="3" s="1"/>
  <c r="H22" i="6" s="1"/>
  <c r="H24" i="6" s="1"/>
  <c r="E39" i="3"/>
  <c r="E42" i="3"/>
  <c r="E44" i="3" s="1"/>
  <c r="E22" i="6" s="1"/>
  <c r="E24" i="6" s="1"/>
  <c r="I39" i="3"/>
  <c r="F39" i="3"/>
  <c r="F42" i="3"/>
  <c r="F44" i="3" s="1"/>
  <c r="F22" i="6" s="1"/>
  <c r="F24" i="6" s="1"/>
  <c r="L39" i="3"/>
  <c r="L42" i="3"/>
  <c r="L44" i="3" s="1"/>
  <c r="L22" i="6" s="1"/>
  <c r="L24" i="6" s="1"/>
  <c r="M39" i="3"/>
  <c r="O24" i="6" l="1"/>
  <c r="N24" i="6"/>
  <c r="N22" i="6"/>
  <c r="O22" i="6"/>
  <c r="N4" i="7"/>
  <c r="N16" i="7" s="1"/>
  <c r="O16" i="7" s="1"/>
  <c r="O10" i="7"/>
  <c r="O9" i="7"/>
  <c r="O8" i="7"/>
  <c r="O7" i="7"/>
  <c r="O6" i="7"/>
  <c r="O13" i="7"/>
  <c r="O12" i="7"/>
  <c r="O11" i="7"/>
  <c r="N14" i="7"/>
  <c r="O14" i="7" s="1"/>
  <c r="N15" i="7"/>
  <c r="H12" i="7"/>
  <c r="M11" i="7"/>
  <c r="O15" i="7" l="1"/>
  <c r="H13" i="7"/>
  <c r="M12" i="7"/>
  <c r="N18" i="7"/>
  <c r="N17" i="7"/>
  <c r="O17" i="7" s="1"/>
  <c r="O5" i="7"/>
  <c r="H14" i="7" l="1"/>
  <c r="M13" i="7"/>
  <c r="O18" i="7"/>
  <c r="H15" i="7" l="1"/>
  <c r="M14" i="7"/>
  <c r="H16" i="7" l="1"/>
  <c r="M15" i="7"/>
  <c r="H17" i="7" l="1"/>
  <c r="M16" i="7"/>
  <c r="H18" i="7" l="1"/>
  <c r="M18" i="7" s="1"/>
  <c r="M17" i="7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<sst xmlns="http://schemas.openxmlformats.org/spreadsheetml/2006/main" count="234" uniqueCount="160">
  <si>
    <t>COMPANY NAME</t>
  </si>
  <si>
    <t>TATA CONSUMER PRODUCTS LTD</t>
  </si>
  <si>
    <t>LATEST VERSION</t>
  </si>
  <si>
    <t>PLEASE DO NOT MAKE ANY CHANGES TO THIS SHEET</t>
  </si>
  <si>
    <t>CURRENT VERSION</t>
  </si>
  <si>
    <t>META</t>
  </si>
  <si>
    <t>Number of shares</t>
  </si>
  <si>
    <t>Face Value</t>
  </si>
  <si>
    <t>Current Price</t>
  </si>
  <si>
    <t>Market Capitalization</t>
  </si>
  <si>
    <t>PROFIT &amp; LOSS</t>
  </si>
  <si>
    <t>Report Date</t>
  </si>
  <si>
    <t>Sales</t>
  </si>
  <si>
    <t>Raw Material Cost</t>
  </si>
  <si>
    <t>Change in Inventory</t>
  </si>
  <si>
    <t>Power and Fuel</t>
  </si>
  <si>
    <t>Other Mfr. Exp</t>
  </si>
  <si>
    <t>Employee Cost</t>
  </si>
  <si>
    <t>Selling and admin</t>
  </si>
  <si>
    <t>Other Expenses</t>
  </si>
  <si>
    <t>Other Income</t>
  </si>
  <si>
    <t>Depreciation</t>
  </si>
  <si>
    <t>Interest</t>
  </si>
  <si>
    <t>Profit before tax</t>
  </si>
  <si>
    <t>Tax</t>
  </si>
  <si>
    <t>Net profit</t>
  </si>
  <si>
    <t>Dividend Amount</t>
  </si>
  <si>
    <t>Effective Tax Rate</t>
  </si>
  <si>
    <t>EBITDA</t>
  </si>
  <si>
    <t>Quarters</t>
  </si>
  <si>
    <t>Expenses</t>
  </si>
  <si>
    <t>Operating Profit</t>
  </si>
  <si>
    <t>BALANCE SHEET</t>
  </si>
  <si>
    <t>Equity Share Capital</t>
  </si>
  <si>
    <t>Reserves</t>
  </si>
  <si>
    <t>Borrowings</t>
  </si>
  <si>
    <t>Other Liabilities</t>
  </si>
  <si>
    <t>Total</t>
  </si>
  <si>
    <t>Net Block</t>
  </si>
  <si>
    <t>Capital Work in Progress</t>
  </si>
  <si>
    <t>Investments</t>
  </si>
  <si>
    <t>Other Assets</t>
  </si>
  <si>
    <t>Receivables</t>
  </si>
  <si>
    <t>Inventory</t>
  </si>
  <si>
    <t>Cash &amp; Bank</t>
  </si>
  <si>
    <t>No. of Equity Shares</t>
  </si>
  <si>
    <t>New Bonus Shares</t>
  </si>
  <si>
    <t>Face value</t>
  </si>
  <si>
    <t>CASH FLOW:</t>
  </si>
  <si>
    <t>Cash from Operating Activity</t>
  </si>
  <si>
    <t>Cash from Investing Activity</t>
  </si>
  <si>
    <t>Cash from Financing Activity</t>
  </si>
  <si>
    <t>Net Cash Flow</t>
  </si>
  <si>
    <t>PRICE:</t>
  </si>
  <si>
    <t>DERIVED:</t>
  </si>
  <si>
    <t>Adjusted Equity Shares in Cr</t>
  </si>
  <si>
    <t>Years</t>
  </si>
  <si>
    <t>LTM</t>
  </si>
  <si>
    <t>#</t>
  </si>
  <si>
    <t>Income Statement</t>
  </si>
  <si>
    <t>Sales Growth</t>
  </si>
  <si>
    <t>-</t>
  </si>
  <si>
    <t>COGS</t>
  </si>
  <si>
    <t>COGS as % of Sales</t>
  </si>
  <si>
    <t>Gross Profit</t>
  </si>
  <si>
    <t>Selling &amp; General Expenses</t>
  </si>
  <si>
    <t>S&amp;G Expenses as a % of Sales</t>
  </si>
  <si>
    <t>EBITDA as a % of Sales</t>
  </si>
  <si>
    <t>Gross Margin</t>
  </si>
  <si>
    <t xml:space="preserve">Interest as a % of Sales </t>
  </si>
  <si>
    <t>Depreciation as a % of Sales</t>
  </si>
  <si>
    <t>Earnings Before Tax</t>
  </si>
  <si>
    <t>EBT as a % of Sales</t>
  </si>
  <si>
    <t>Net Income</t>
  </si>
  <si>
    <t>Net Margin</t>
  </si>
  <si>
    <t>Equity Shares Outstanding</t>
  </si>
  <si>
    <t>EPS</t>
  </si>
  <si>
    <t>Earnings Per Share</t>
  </si>
  <si>
    <t>Dividends Per Share</t>
  </si>
  <si>
    <t>EPS Growth %</t>
  </si>
  <si>
    <t>Dividend Payout Ratio</t>
  </si>
  <si>
    <t>Retained Earnings</t>
  </si>
  <si>
    <t>Total Liabilities</t>
  </si>
  <si>
    <t>Fixed Capital Net Block</t>
  </si>
  <si>
    <t>Total Non Current Assets</t>
  </si>
  <si>
    <t>Total Current Assets</t>
  </si>
  <si>
    <t>Total Assets</t>
  </si>
  <si>
    <t>Check</t>
  </si>
  <si>
    <t>Cash from Operating Activity -</t>
  </si>
  <si>
    <t>Profit from operations</t>
  </si>
  <si>
    <t>Payables</t>
  </si>
  <si>
    <t>Loans Advances</t>
  </si>
  <si>
    <t>Other WC items</t>
  </si>
  <si>
    <t>Working capital changes</t>
  </si>
  <si>
    <t>Direct taxes</t>
  </si>
  <si>
    <t>Cash from Investing Activity -</t>
  </si>
  <si>
    <t>Fixed assets purchased</t>
  </si>
  <si>
    <t>Fixed assets sold</t>
  </si>
  <si>
    <t>Investments purchased</t>
  </si>
  <si>
    <t>Investments sold</t>
  </si>
  <si>
    <t>Interest received</t>
  </si>
  <si>
    <t>Dividends received</t>
  </si>
  <si>
    <t>Invest in subsidiaries</t>
  </si>
  <si>
    <t>Investment in group cos</t>
  </si>
  <si>
    <t>Redemp n Canc of Shares</t>
  </si>
  <si>
    <t>Acquisition of companies</t>
  </si>
  <si>
    <t>Inter corporate deposits</t>
  </si>
  <si>
    <t>Other investing items</t>
  </si>
  <si>
    <t>Cash from Financing Activity -</t>
  </si>
  <si>
    <t>Proceeds from shares</t>
  </si>
  <si>
    <t>Redemption of debentures</t>
  </si>
  <si>
    <t>Proceeds from borrowings</t>
  </si>
  <si>
    <t>Repayment of borrowings</t>
  </si>
  <si>
    <t>Proceeds from deposits</t>
  </si>
  <si>
    <t>Interest paid fin</t>
  </si>
  <si>
    <t>Dividends paid</t>
  </si>
  <si>
    <t>Financial liabilities</t>
  </si>
  <si>
    <t>Other financing items</t>
  </si>
  <si>
    <t>Cash Flow Statements</t>
  </si>
  <si>
    <t>Cash From Operating Activities</t>
  </si>
  <si>
    <t>Operating Activities</t>
  </si>
  <si>
    <t>Investing Activities</t>
  </si>
  <si>
    <t>Cash From Investing Activities</t>
  </si>
  <si>
    <t>Financing Activities</t>
  </si>
  <si>
    <t>Cash From Financing Activities</t>
  </si>
  <si>
    <t>SalesGrowth</t>
  </si>
  <si>
    <t>EBITDA Growth</t>
  </si>
  <si>
    <t>Net Profit Growth</t>
  </si>
  <si>
    <t>Dividend Growth</t>
  </si>
  <si>
    <t>EBITDA Margin</t>
  </si>
  <si>
    <t>EBIT Margin</t>
  </si>
  <si>
    <t>EBT Margin</t>
  </si>
  <si>
    <t>Net Profit Margin</t>
  </si>
  <si>
    <t>SalesExpenses%Sales</t>
  </si>
  <si>
    <t>Depreciation%Sales</t>
  </si>
  <si>
    <t>OperatingIncome%Sales</t>
  </si>
  <si>
    <t>Return on Capital Employed</t>
  </si>
  <si>
    <t>Retained Earnings%</t>
  </si>
  <si>
    <t>Return on Equity%</t>
  </si>
  <si>
    <t>Self Sustained Growth Rate</t>
  </si>
  <si>
    <t>Interest Coverage Ratio</t>
  </si>
  <si>
    <t>Creditor Turnover Ratio</t>
  </si>
  <si>
    <t>Inventory Turnover</t>
  </si>
  <si>
    <t>Fixed Asset Turnover</t>
  </si>
  <si>
    <t>Capital Turnover Ratio</t>
  </si>
  <si>
    <t>Cash Conversion Cycle</t>
  </si>
  <si>
    <t>CFO/Sales</t>
  </si>
  <si>
    <t>CFO/Total Assets</t>
  </si>
  <si>
    <t>CFO/Total Debt</t>
  </si>
  <si>
    <t>EBT Growth</t>
  </si>
  <si>
    <t>Recevables Turnover Ratio</t>
  </si>
  <si>
    <t>Days Inventory Outstanding</t>
  </si>
  <si>
    <t>Days Payables Outstanding</t>
  </si>
  <si>
    <t>Days Sales Outstanding</t>
  </si>
  <si>
    <t>Mean</t>
  </si>
  <si>
    <t>Median</t>
  </si>
  <si>
    <t>Trend</t>
  </si>
  <si>
    <t>Year Weight</t>
  </si>
  <si>
    <t>Year</t>
  </si>
  <si>
    <t>EPS Growth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</si>
</sst>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&quot;₹&quot;#,##0.0_);\(&quot;₹&quot;#,##0.0\);\-"/>
    <numFmt numFmtId="165" formatCode="0.00%;\(0.00%\)"/>
    <numFmt numFmtId="166" formatCode="&quot;₹&quot;#,##0.0_);\(&quot;₹&quot;#,##0.0\)"/>
    <numFmt numFmtId="167" formatCode="#,##0.0_);\(#,##0.0\)"/>
    <numFmt numFmtId="168" formatCode="#.00%_);\(#.00%\)"/>
    <numFmt numFmtId="169" formatCode="0.00%_);\(0.00%\)"/>
    <numFmt numFmtId="170" formatCode="0.0"/>
    <numFmt numFmtId="171" formatCode="#,##0.0"/>
    <numFmt numFmtId="172" formatCode="0.00&quot;x&quot;_);\(0.00&quot;x&quot;\)"/>
    <numFmt numFmtId="173" formatCode="0&quot; Days&quot;"/>
    <numFmt numFmtId="174" formatCode="yyyy&quot;A&quot;"/>
    <numFmt numFmtId="175" formatCode="yyyy&quot;E&quot;"/>
  </numFmts>
  <fonts count="12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Arial"/>
      <family val="2"/>
    </font>
    <font>
      <u/>
      <sz val="10"/>
      <color rgb="FF0563C1"/>
      <name val="Arial"/>
      <family val="2"/>
    </font>
    <font>
      <sz val="10"/>
      <color theme="1"/>
      <name val="Arial"/>
      <family val="2"/>
    </font>
    <font>
      <b/>
      <sz val="10"/>
      <color rgb="FFFFFFFF"/>
      <name val="Arial"/>
      <family val="2"/>
    </font>
    <font>
      <i/>
      <sz val="11"/>
      <color theme="1"/>
      <name val="Calibri"/>
      <family val="2"/>
    </font>
    <font>
      <i/>
      <sz val="11"/>
      <color theme="0" tint="-0.34998626667073579"/>
      <name val="Calibri"/>
      <family val="2"/>
    </font>
    <font>
      <i/>
      <sz val="11"/>
      <color theme="0" tint="-0.249977111117893"/>
      <name val="Calibri"/>
      <family val="2"/>
    </font>
    <font>
      <b/>
      <sz val="11"/>
      <color rgb="FFFFFF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hair">
        <color rgb="FF002060"/>
      </top>
      <bottom style="hair">
        <color rgb="FF002060"/>
      </bottom>
      <diagonal/>
    </border>
    <border>
      <left/>
      <right/>
      <top style="hair">
        <color rgb="FF002060"/>
      </top>
      <bottom/>
      <diagonal/>
    </border>
    <border>
      <left/>
      <right/>
      <top/>
      <bottom style="hair">
        <color rgb="FF00206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4" fontId="6" fillId="0" borderId="0" xfId="0" applyNumberFormat="1" applyFont="1"/>
    <xf numFmtId="17" fontId="0" fillId="0" borderId="0" xfId="0" applyNumberFormat="1"/>
    <xf numFmtId="17" fontId="7" fillId="0" borderId="0" xfId="0" applyNumberFormat="1" applyFont="1"/>
    <xf numFmtId="9" fontId="6" fillId="0" borderId="0" xfId="0" applyNumberFormat="1" applyFont="1"/>
    <xf numFmtId="0" fontId="3" fillId="0" borderId="0" xfId="0" applyFont="1"/>
    <xf numFmtId="17" fontId="4" fillId="0" borderId="0" xfId="0" applyNumberFormat="1" applyFo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7" fontId="2" fillId="2" borderId="0" xfId="0" applyNumberFormat="1" applyFont="1" applyFill="1"/>
    <xf numFmtId="0" fontId="2" fillId="2" borderId="0" xfId="0" applyFont="1" applyFill="1" applyAlignment="1">
      <alignment horizontal="right"/>
    </xf>
    <xf numFmtId="164" fontId="0" fillId="0" borderId="0" xfId="0" applyNumberFormat="1"/>
    <xf numFmtId="10" fontId="0" fillId="0" borderId="0" xfId="1" applyNumberFormat="1" applyFont="1"/>
    <xf numFmtId="0" fontId="8" fillId="0" borderId="0" xfId="0" applyFont="1"/>
    <xf numFmtId="0" fontId="9" fillId="0" borderId="0" xfId="0" applyFont="1"/>
    <xf numFmtId="165" fontId="9" fillId="0" borderId="0" xfId="0" applyNumberFormat="1" applyFont="1" applyAlignment="1">
      <alignment horizontal="right"/>
    </xf>
    <xf numFmtId="165" fontId="9" fillId="0" borderId="0" xfId="1" applyNumberFormat="1" applyFont="1"/>
    <xf numFmtId="0" fontId="10" fillId="0" borderId="0" xfId="0" applyFont="1"/>
    <xf numFmtId="10" fontId="10" fillId="0" borderId="0" xfId="1" applyNumberFormat="1" applyFont="1"/>
    <xf numFmtId="166" fontId="0" fillId="0" borderId="0" xfId="0" applyNumberFormat="1"/>
    <xf numFmtId="167" fontId="0" fillId="0" borderId="0" xfId="0" applyNumberFormat="1"/>
    <xf numFmtId="0" fontId="2" fillId="0" borderId="0" xfId="0" applyFont="1"/>
    <xf numFmtId="17" fontId="2" fillId="0" borderId="0" xfId="0" applyNumberFormat="1" applyFont="1"/>
    <xf numFmtId="0" fontId="2" fillId="0" borderId="0" xfId="0" applyFont="1" applyAlignment="1">
      <alignment horizontal="right"/>
    </xf>
    <xf numFmtId="0" fontId="0" fillId="3" borderId="0" xfId="0" applyFill="1"/>
    <xf numFmtId="168" fontId="10" fillId="0" borderId="0" xfId="1" applyNumberFormat="1" applyFont="1"/>
    <xf numFmtId="169" fontId="10" fillId="0" borderId="0" xfId="1" applyNumberFormat="1" applyFont="1"/>
    <xf numFmtId="170" fontId="0" fillId="0" borderId="0" xfId="0" applyNumberFormat="1"/>
    <xf numFmtId="0" fontId="11" fillId="0" borderId="0" xfId="0" applyFont="1"/>
    <xf numFmtId="0" fontId="3" fillId="3" borderId="0" xfId="0" applyFont="1" applyFill="1"/>
    <xf numFmtId="164" fontId="3" fillId="0" borderId="0" xfId="0" applyNumberFormat="1" applyFont="1"/>
    <xf numFmtId="3" fontId="0" fillId="0" borderId="0" xfId="0" applyNumberFormat="1"/>
    <xf numFmtId="171" fontId="0" fillId="0" borderId="0" xfId="0" applyNumberFormat="1"/>
    <xf numFmtId="0" fontId="0" fillId="0" borderId="1" xfId="0" applyBorder="1"/>
    <xf numFmtId="166" fontId="0" fillId="0" borderId="1" xfId="0" applyNumberFormat="1" applyBorder="1"/>
    <xf numFmtId="0" fontId="3" fillId="0" borderId="1" xfId="0" applyFont="1" applyBorder="1"/>
    <xf numFmtId="166" fontId="3" fillId="0" borderId="1" xfId="0" applyNumberFormat="1" applyFont="1" applyBorder="1"/>
    <xf numFmtId="164" fontId="3" fillId="0" borderId="1" xfId="0" applyNumberFormat="1" applyFont="1" applyBorder="1"/>
    <xf numFmtId="169" fontId="0" fillId="0" borderId="0" xfId="1" applyNumberFormat="1" applyFont="1"/>
    <xf numFmtId="169" fontId="0" fillId="0" borderId="2" xfId="1" applyNumberFormat="1" applyFont="1" applyBorder="1" applyAlignment="1">
      <alignment horizontal="center"/>
    </xf>
    <xf numFmtId="169" fontId="0" fillId="0" borderId="2" xfId="1" applyNumberFormat="1" applyFont="1" applyBorder="1"/>
    <xf numFmtId="169" fontId="0" fillId="0" borderId="0" xfId="1" applyNumberFormat="1" applyFont="1" applyBorder="1" applyAlignment="1">
      <alignment horizontal="center"/>
    </xf>
    <xf numFmtId="169" fontId="0" fillId="0" borderId="0" xfId="1" applyNumberFormat="1" applyFont="1" applyBorder="1"/>
    <xf numFmtId="169" fontId="0" fillId="0" borderId="3" xfId="1" applyNumberFormat="1" applyFont="1" applyBorder="1" applyAlignment="1">
      <alignment horizontal="center"/>
    </xf>
    <xf numFmtId="169" fontId="0" fillId="0" borderId="3" xfId="1" applyNumberFormat="1" applyFont="1" applyBorder="1"/>
    <xf numFmtId="0" fontId="0" fillId="0" borderId="2" xfId="0" applyBorder="1"/>
    <xf numFmtId="0" fontId="0" fillId="0" borderId="3" xfId="0" applyBorder="1"/>
    <xf numFmtId="172" fontId="0" fillId="0" borderId="3" xfId="0" applyNumberFormat="1" applyBorder="1"/>
    <xf numFmtId="172" fontId="0" fillId="0" borderId="2" xfId="0" applyNumberFormat="1" applyBorder="1"/>
    <xf numFmtId="172" fontId="0" fillId="0" borderId="0" xfId="0" applyNumberFormat="1"/>
    <xf numFmtId="173" fontId="0" fillId="0" borderId="2" xfId="0" applyNumberFormat="1" applyBorder="1"/>
    <xf numFmtId="173" fontId="0" fillId="0" borderId="0" xfId="0" applyNumberFormat="1"/>
    <xf numFmtId="173" fontId="0" fillId="0" borderId="3" xfId="0" applyNumberFormat="1" applyBorder="1"/>
    <xf numFmtId="10" fontId="0" fillId="0" borderId="2" xfId="1" applyNumberFormat="1" applyFont="1" applyBorder="1"/>
    <xf numFmtId="10" fontId="0" fillId="0" borderId="0" xfId="1" applyNumberFormat="1" applyFont="1" applyBorder="1"/>
    <xf numFmtId="10" fontId="0" fillId="0" borderId="3" xfId="1" applyNumberFormat="1" applyFont="1" applyBorder="1"/>
    <xf numFmtId="17" fontId="2" fillId="2" borderId="0" xfId="0" applyNumberFormat="1" applyFont="1" applyFill="1" applyAlignment="1">
      <alignment horizontal="center"/>
    </xf>
    <xf numFmtId="17" fontId="2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2" borderId="0" xfId="0" applyFont="1" applyFill="1" applyAlignment="1">
      <alignment horizontal="right"/>
    </xf>
    <xf numFmtId="0" fontId="0" fillId="0" borderId="0" xfId="0" applyAlignment="1">
      <alignment horizontal="left"/>
    </xf>
    <xf numFmtId="0" fontId="11" fillId="2" borderId="0" xfId="0" applyFont="1" applyFill="1" applyAlignment="1">
      <alignment horizontal="left"/>
    </xf>
    <xf numFmtId="10" fontId="0" fillId="0" borderId="0" xfId="1" applyNumberFormat="1" applyFont="1" applyFill="1"/>
    <xf numFmtId="0" fontId="11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174" fontId="0" fillId="0" borderId="0" xfId="0" applyNumberFormat="1" applyAlignment="1">
      <alignment horizontal="right"/>
    </xf>
    <xf numFmtId="175" fontId="0" fillId="0" borderId="0" xfId="0" applyNumberFormat="1" applyAlignment="1">
      <alignment horizontal="right"/>
    </xf>
    <xf numFmtId="0" fontId="0" fillId="4" borderId="0" xfId="0" applyFill="1" applyAlignment="1">
      <alignment horizontal="left"/>
    </xf>
    <xf numFmtId="175" fontId="0" fillId="4" borderId="0" xfId="0" applyNumberFormat="1" applyFill="1" applyAlignment="1">
      <alignment horizontal="right"/>
    </xf>
    <xf numFmtId="167" fontId="0" fillId="4" borderId="0" xfId="0" applyNumberFormat="1" applyFill="1"/>
    <xf numFmtId="10" fontId="0" fillId="4" borderId="0" xfId="1" applyNumberFormat="1" applyFont="1" applyFill="1"/>
    <xf numFmtId="174" fontId="0" fillId="0" borderId="0" xfId="0" applyNumberFormat="1"/>
    <xf numFmtId="0" fontId="0" fillId="4" borderId="0" xfId="0" applyFill="1"/>
    <xf numFmtId="175" fontId="0" fillId="4" borderId="0" xfId="0" applyNumberFormat="1" applyFill="1"/>
    <xf numFmtId="170" fontId="0" fillId="4" borderId="0" xfId="0" applyNumberFormat="1" applyFill="1"/>
    <xf numFmtId="0" fontId="2" fillId="2" borderId="0" xfId="0" applyFont="1" applyFill="1" applyAlignment="1">
      <alignment horizontal="center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colors>
    <mruColors>
      <color rgb="FF0000FF"/>
      <color rgb="FF61CBC8"/>
      <color rgb="FFFFFF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65281-ACA6-B441-87CE-0B9636766E9A}">
  <sheetPr>
    <tabColor theme="4"/>
  </sheetPr>
  <dimension ref="A1"/>
  <sheetViews>
    <sheetView workbookViewId="0">
      <selection activeCell="E37" sqref="E37"/>
    </sheetView>
  </sheetViews>
  <sheetFormatPr baseColWidth="10" defaultRowHeight="1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2B9C8-D7F1-F646-BB95-0448D9F8552A}">
  <dimension ref="A2:XFA107"/>
  <sheetViews>
    <sheetView showGridLines="0" tabSelected="1" zoomScale="125" zoomScaleNormal="125" workbookViewId="0">
      <pane ySplit="3" topLeftCell="A55" activePane="bottomLeft" state="frozen"/>
      <selection pane="bottomLeft" activeCell="C13" sqref="C13"/>
    </sheetView>
  </sheetViews>
  <sheetFormatPr baseColWidth="10" defaultRowHeight="15" outlineLevelRow="1" x14ac:dyDescent="0.2"/>
  <cols>
    <col min="1" max="1" width="2" customWidth="1"/>
    <col min="2" max="2" width="25.83203125" customWidth="1"/>
    <col min="3" max="3" width="11.1640625" bestFit="1" customWidth="1"/>
    <col min="13" max="13" width="11.5" bestFit="1" customWidth="1"/>
  </cols>
  <sheetData>
    <row r="2" spans="1:13" x14ac:dyDescent="0.2">
      <c r="B2" s="81" t="str">
        <f>"Historical Financial Statement - "&amp;'Data Sheet'!B1</f>
        <v>Historical Financial Statement - TATA CONSUMER PRODUCTS LTD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3" x14ac:dyDescent="0.2">
      <c r="B3" s="11" t="s">
        <v>56</v>
      </c>
      <c r="C3" s="13">
        <f>'Data Sheet'!B16</f>
        <v>42460</v>
      </c>
      <c r="D3" s="13">
        <f>'Data Sheet'!C16</f>
        <v>42825</v>
      </c>
      <c r="E3" s="13">
        <f>'Data Sheet'!D16</f>
        <v>43190</v>
      </c>
      <c r="F3" s="13">
        <f>'Data Sheet'!E16</f>
        <v>43555</v>
      </c>
      <c r="G3" s="13">
        <f>'Data Sheet'!F16</f>
        <v>43921</v>
      </c>
      <c r="H3" s="13">
        <f>'Data Sheet'!G16</f>
        <v>44286</v>
      </c>
      <c r="I3" s="13">
        <f>'Data Sheet'!H16</f>
        <v>44651</v>
      </c>
      <c r="J3" s="13">
        <f>'Data Sheet'!I16</f>
        <v>45016</v>
      </c>
      <c r="K3" s="13">
        <f>'Data Sheet'!J16</f>
        <v>45382</v>
      </c>
      <c r="L3" s="13">
        <f>'Data Sheet'!K16</f>
        <v>45747</v>
      </c>
      <c r="M3" s="14" t="s">
        <v>57</v>
      </c>
    </row>
    <row r="4" spans="1:13" x14ac:dyDescent="0.2">
      <c r="B4" s="25"/>
      <c r="C4" s="26"/>
      <c r="D4" s="26"/>
      <c r="E4" s="26"/>
      <c r="F4" s="26"/>
      <c r="G4" s="26"/>
      <c r="H4" s="26"/>
      <c r="I4" s="26"/>
      <c r="J4" s="26"/>
      <c r="K4" s="26"/>
      <c r="L4" s="26"/>
      <c r="M4" s="27"/>
    </row>
    <row r="5" spans="1:13" x14ac:dyDescent="0.2">
      <c r="A5" s="28" t="s">
        <v>58</v>
      </c>
      <c r="B5" s="28" t="s">
        <v>59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</row>
    <row r="6" spans="1:13" outlineLevel="1" x14ac:dyDescent="0.2">
      <c r="B6" t="s">
        <v>12</v>
      </c>
      <c r="C6" s="23">
        <f>IFERROR('Data Sheet'!B17,0)</f>
        <v>6636.54</v>
      </c>
      <c r="D6" s="23">
        <f>IFERROR('Data Sheet'!C17,0)</f>
        <v>6779.55</v>
      </c>
      <c r="E6" s="23">
        <f>IFERROR('Data Sheet'!D17,0)</f>
        <v>6815.35</v>
      </c>
      <c r="F6" s="23">
        <f>IFERROR('Data Sheet'!E17,0)</f>
        <v>7251.5</v>
      </c>
      <c r="G6" s="23">
        <f>IFERROR('Data Sheet'!F17,0)</f>
        <v>9637.42</v>
      </c>
      <c r="H6" s="23">
        <f>IFERROR('Data Sheet'!G17,0)</f>
        <v>11602.03</v>
      </c>
      <c r="I6" s="23">
        <f>IFERROR('Data Sheet'!H17,0)</f>
        <v>12425.37</v>
      </c>
      <c r="J6" s="23">
        <f>IFERROR('Data Sheet'!I17,0)</f>
        <v>13783.16</v>
      </c>
      <c r="K6" s="23">
        <f>IFERROR('Data Sheet'!J17,0)</f>
        <v>15205.85</v>
      </c>
      <c r="L6" s="23">
        <f>IFERROR('Data Sheet'!K17,0)</f>
        <v>17618.3</v>
      </c>
      <c r="M6" s="23">
        <f>IFERROR(SUM('Data Sheet'!H42:K42),0)</f>
        <v>19465.03</v>
      </c>
    </row>
    <row r="7" spans="1:13" outlineLevel="1" x14ac:dyDescent="0.2">
      <c r="B7" s="18" t="s">
        <v>60</v>
      </c>
      <c r="C7" s="19" t="s">
        <v>61</v>
      </c>
      <c r="D7" s="20">
        <f>D6/C6-1</f>
        <v>2.1548879385945074E-2</v>
      </c>
      <c r="E7" s="20">
        <f t="shared" ref="E7:M7" si="0">E6/D6-1</f>
        <v>5.2805864696034988E-3</v>
      </c>
      <c r="F7" s="20">
        <f t="shared" si="0"/>
        <v>6.3995246025515984E-2</v>
      </c>
      <c r="G7" s="20">
        <f t="shared" si="0"/>
        <v>0.32902433979176715</v>
      </c>
      <c r="H7" s="20">
        <f t="shared" si="0"/>
        <v>0.20385227581655685</v>
      </c>
      <c r="I7" s="20">
        <f t="shared" si="0"/>
        <v>7.0965167302618593E-2</v>
      </c>
      <c r="J7" s="20">
        <f t="shared" si="0"/>
        <v>0.10927561915661266</v>
      </c>
      <c r="K7" s="20">
        <f t="shared" si="0"/>
        <v>0.10321943589133409</v>
      </c>
      <c r="L7" s="20">
        <f t="shared" si="0"/>
        <v>0.1586527553540249</v>
      </c>
      <c r="M7" s="20">
        <f t="shared" si="0"/>
        <v>0.10481885312430816</v>
      </c>
    </row>
    <row r="8" spans="1:13" outlineLevel="1" x14ac:dyDescent="0.2"/>
    <row r="9" spans="1:13" outlineLevel="1" x14ac:dyDescent="0.2">
      <c r="B9" t="s">
        <v>62</v>
      </c>
      <c r="C9" s="23">
        <f>-IFERROR(SUM('Data Sheet'!B18,'Data Sheet'!B20:B22)-1*'Data Sheet'!B19,0)</f>
        <v>-4698.24</v>
      </c>
      <c r="D9" s="23">
        <f>-IFERROR(SUM('Data Sheet'!C18,'Data Sheet'!C20:C22)-1*'Data Sheet'!C19,0)</f>
        <v>-4680.7100000000009</v>
      </c>
      <c r="E9" s="23">
        <f>-IFERROR(SUM('Data Sheet'!D18,'Data Sheet'!D20:D22)-1*'Data Sheet'!D19,0)</f>
        <v>-4802.4400000000005</v>
      </c>
      <c r="F9" s="23">
        <f>-IFERROR(SUM('Data Sheet'!E18,'Data Sheet'!E20:E22)-1*'Data Sheet'!E19,0)</f>
        <v>-5112.8100000000004</v>
      </c>
      <c r="G9" s="23">
        <f>-IFERROR(SUM('Data Sheet'!F18,'Data Sheet'!F20:F22)-1*'Data Sheet'!F19,0)</f>
        <v>-6637.79</v>
      </c>
      <c r="H9" s="23">
        <f>-IFERROR(SUM('Data Sheet'!G18,'Data Sheet'!G20:G22)-1*'Data Sheet'!G19,0)</f>
        <v>-8227.5899999999983</v>
      </c>
      <c r="I9" s="23">
        <f>-IFERROR(SUM('Data Sheet'!H18,'Data Sheet'!H20:H22)-1*'Data Sheet'!H19,0)</f>
        <v>-8594.9299999999985</v>
      </c>
      <c r="J9" s="23">
        <f>-IFERROR(SUM('Data Sheet'!I18,'Data Sheet'!I20:I22)-1*'Data Sheet'!I19,0)</f>
        <v>-9681.1700000000019</v>
      </c>
      <c r="K9" s="23">
        <f>-IFERROR(SUM('Data Sheet'!J18,'Data Sheet'!J20:J22)-1*'Data Sheet'!J19,0)</f>
        <v>-10354.23</v>
      </c>
      <c r="L9" s="23">
        <f>-IFERROR(SUM('Data Sheet'!K18,'Data Sheet'!K20:K22)-1*'Data Sheet'!K19,0)</f>
        <v>-12092.75</v>
      </c>
      <c r="M9" s="23">
        <f>-IFERROR(SUM('Data Sheet'!H43:K43),0)</f>
        <v>-16844.690000000002</v>
      </c>
    </row>
    <row r="10" spans="1:13" outlineLevel="1" x14ac:dyDescent="0.2">
      <c r="B10" s="21" t="s">
        <v>63</v>
      </c>
      <c r="C10" s="22">
        <f>-C9/C6</f>
        <v>0.70793515898344617</v>
      </c>
      <c r="D10" s="22">
        <f t="shared" ref="D10:M10" si="1">-D9/D6</f>
        <v>0.69041603056250056</v>
      </c>
      <c r="E10" s="22">
        <f t="shared" si="1"/>
        <v>0.70465053152075829</v>
      </c>
      <c r="F10" s="22">
        <f t="shared" si="1"/>
        <v>0.70506929600772261</v>
      </c>
      <c r="G10" s="22">
        <f t="shared" si="1"/>
        <v>0.68875176136351846</v>
      </c>
      <c r="H10" s="22">
        <f t="shared" si="1"/>
        <v>0.70915089859274605</v>
      </c>
      <c r="I10" s="22">
        <f t="shared" si="1"/>
        <v>0.69172427058510111</v>
      </c>
      <c r="J10" s="22">
        <f t="shared" si="1"/>
        <v>0.7023911788007976</v>
      </c>
      <c r="K10" s="22">
        <f t="shared" si="1"/>
        <v>0.68093727085299405</v>
      </c>
      <c r="L10" s="22">
        <f t="shared" si="1"/>
        <v>0.68637439480540119</v>
      </c>
      <c r="M10" s="22">
        <f t="shared" si="1"/>
        <v>0.86538217511095561</v>
      </c>
    </row>
    <row r="11" spans="1:13" outlineLevel="1" x14ac:dyDescent="0.2"/>
    <row r="12" spans="1:13" outlineLevel="1" x14ac:dyDescent="0.2">
      <c r="A12" s="39"/>
      <c r="B12" s="39" t="s">
        <v>64</v>
      </c>
      <c r="C12" s="40">
        <f>C6+C9</f>
        <v>1938.3000000000002</v>
      </c>
      <c r="D12" s="40">
        <f t="shared" ref="D12:M12" si="2">D6+D9</f>
        <v>2098.8399999999992</v>
      </c>
      <c r="E12" s="40">
        <f t="shared" si="2"/>
        <v>2012.9099999999999</v>
      </c>
      <c r="F12" s="40">
        <f t="shared" si="2"/>
        <v>2138.6899999999996</v>
      </c>
      <c r="G12" s="40">
        <f t="shared" si="2"/>
        <v>2999.63</v>
      </c>
      <c r="H12" s="40">
        <f t="shared" si="2"/>
        <v>3374.4400000000023</v>
      </c>
      <c r="I12" s="40">
        <f t="shared" si="2"/>
        <v>3830.4400000000023</v>
      </c>
      <c r="J12" s="40">
        <f t="shared" si="2"/>
        <v>4101.989999999998</v>
      </c>
      <c r="K12" s="40">
        <f t="shared" si="2"/>
        <v>4851.6200000000008</v>
      </c>
      <c r="L12" s="40">
        <f t="shared" si="2"/>
        <v>5525.5499999999993</v>
      </c>
      <c r="M12" s="40">
        <f t="shared" si="2"/>
        <v>2620.3399999999965</v>
      </c>
    </row>
    <row r="13" spans="1:13" outlineLevel="1" x14ac:dyDescent="0.2">
      <c r="B13" s="21" t="s">
        <v>68</v>
      </c>
      <c r="C13" s="22">
        <f>C12/C6</f>
        <v>0.29206484101655383</v>
      </c>
      <c r="D13" s="22">
        <f t="shared" ref="D13:M13" si="3">D12/D6</f>
        <v>0.30958396943749944</v>
      </c>
      <c r="E13" s="22">
        <f t="shared" si="3"/>
        <v>0.29534946847924165</v>
      </c>
      <c r="F13" s="22">
        <f t="shared" si="3"/>
        <v>0.29493070399227739</v>
      </c>
      <c r="G13" s="22">
        <f t="shared" si="3"/>
        <v>0.31124823863648154</v>
      </c>
      <c r="H13" s="22">
        <f t="shared" si="3"/>
        <v>0.2908491014072539</v>
      </c>
      <c r="I13" s="22">
        <f t="shared" si="3"/>
        <v>0.30827572941489889</v>
      </c>
      <c r="J13" s="22">
        <f t="shared" si="3"/>
        <v>0.29760882119920234</v>
      </c>
      <c r="K13" s="22">
        <f t="shared" si="3"/>
        <v>0.31906272914700595</v>
      </c>
      <c r="L13" s="22">
        <f t="shared" si="3"/>
        <v>0.31362560519459876</v>
      </c>
      <c r="M13" s="22">
        <f t="shared" si="3"/>
        <v>0.13461782488904445</v>
      </c>
    </row>
    <row r="14" spans="1:13" outlineLevel="1" x14ac:dyDescent="0.2"/>
    <row r="15" spans="1:13" outlineLevel="1" x14ac:dyDescent="0.2">
      <c r="B15" t="s">
        <v>65</v>
      </c>
      <c r="C15" s="23">
        <f>-IFERROR(SUM('Data Sheet'!B23:B24),0)</f>
        <v>-1572.3899999999999</v>
      </c>
      <c r="D15" s="23">
        <f>-IFERROR(SUM('Data Sheet'!C23:C24),0)</f>
        <v>-1307.71</v>
      </c>
      <c r="E15" s="23">
        <f>-IFERROR(SUM('Data Sheet'!D23:D24),0)</f>
        <v>-1174</v>
      </c>
      <c r="F15" s="23">
        <f>-IFERROR(SUM('Data Sheet'!E23:E24),0)</f>
        <v>-1352.78</v>
      </c>
      <c r="G15" s="23">
        <f>-IFERROR(SUM('Data Sheet'!F23:F24),0)</f>
        <v>-1707.48</v>
      </c>
      <c r="H15" s="23">
        <f>-IFERROR(SUM('Data Sheet'!G23:G24),0)</f>
        <v>-1830.68</v>
      </c>
      <c r="I15" s="23">
        <f>-IFERROR(SUM('Data Sheet'!H23:H24),0)</f>
        <v>-2111.66</v>
      </c>
      <c r="J15" s="23">
        <f>-IFERROR(SUM('Data Sheet'!I23:I24),0)</f>
        <v>-2245.52</v>
      </c>
      <c r="K15" s="23">
        <f>-IFERROR(SUM('Data Sheet'!J23:J24),0)</f>
        <v>-2567.52</v>
      </c>
      <c r="L15" s="23">
        <f>-IFERROR(SUM('Data Sheet'!K23:K24),0)</f>
        <v>-3046.2</v>
      </c>
      <c r="M15" s="24"/>
    </row>
    <row r="16" spans="1:13" outlineLevel="1" x14ac:dyDescent="0.2">
      <c r="B16" s="21" t="s">
        <v>66</v>
      </c>
      <c r="C16" s="22">
        <f>-C15/C6</f>
        <v>0.23692918297787702</v>
      </c>
      <c r="D16" s="22">
        <f t="shared" ref="D16:L16" si="4">-D15/D6</f>
        <v>0.19289038358003113</v>
      </c>
      <c r="E16" s="22">
        <f t="shared" si="4"/>
        <v>0.17225821124373655</v>
      </c>
      <c r="F16" s="22">
        <f t="shared" si="4"/>
        <v>0.18655174791422463</v>
      </c>
      <c r="G16" s="22">
        <f t="shared" si="4"/>
        <v>0.1771718987031799</v>
      </c>
      <c r="H16" s="22">
        <f t="shared" si="4"/>
        <v>0.15778962819437634</v>
      </c>
      <c r="I16" s="22">
        <f t="shared" si="4"/>
        <v>0.1699474542810395</v>
      </c>
      <c r="J16" s="22">
        <f t="shared" si="4"/>
        <v>0.16291764733196162</v>
      </c>
      <c r="K16" s="22">
        <f t="shared" si="4"/>
        <v>0.16885080413130471</v>
      </c>
      <c r="L16" s="22">
        <f t="shared" si="4"/>
        <v>0.17289976899019768</v>
      </c>
    </row>
    <row r="17" spans="1:13" outlineLevel="1" x14ac:dyDescent="0.2"/>
    <row r="18" spans="1:13" outlineLevel="1" x14ac:dyDescent="0.2">
      <c r="A18" s="37"/>
      <c r="B18" s="37" t="s">
        <v>28</v>
      </c>
      <c r="C18" s="38">
        <f>C12+C15</f>
        <v>365.91000000000031</v>
      </c>
      <c r="D18" s="38">
        <f t="shared" ref="D18:L18" si="5">D12+D15</f>
        <v>791.1299999999992</v>
      </c>
      <c r="E18" s="38">
        <f t="shared" si="5"/>
        <v>838.90999999999985</v>
      </c>
      <c r="F18" s="38">
        <f t="shared" si="5"/>
        <v>785.90999999999963</v>
      </c>
      <c r="G18" s="38">
        <f t="shared" si="5"/>
        <v>1292.1500000000001</v>
      </c>
      <c r="H18" s="38">
        <f t="shared" si="5"/>
        <v>1543.7600000000023</v>
      </c>
      <c r="I18" s="38">
        <f t="shared" si="5"/>
        <v>1718.7800000000025</v>
      </c>
      <c r="J18" s="38">
        <f t="shared" si="5"/>
        <v>1856.469999999998</v>
      </c>
      <c r="K18" s="38">
        <f t="shared" si="5"/>
        <v>2284.1000000000008</v>
      </c>
      <c r="L18" s="38">
        <f t="shared" si="5"/>
        <v>2479.3499999999995</v>
      </c>
      <c r="M18" s="38">
        <f>IFERROR(SUM('Data Sheet'!H51:K51),0)</f>
        <v>27983.82</v>
      </c>
    </row>
    <row r="19" spans="1:13" outlineLevel="1" x14ac:dyDescent="0.2">
      <c r="B19" s="21" t="s">
        <v>67</v>
      </c>
      <c r="C19" s="22">
        <f>C18/C6</f>
        <v>5.513565803867683E-2</v>
      </c>
      <c r="D19" s="22">
        <f t="shared" ref="D19:M19" si="6">D18/D6</f>
        <v>0.11669358585746829</v>
      </c>
      <c r="E19" s="22">
        <f t="shared" si="6"/>
        <v>0.12309125723550512</v>
      </c>
      <c r="F19" s="22">
        <f t="shared" si="6"/>
        <v>0.10837895607805277</v>
      </c>
      <c r="G19" s="22">
        <f t="shared" si="6"/>
        <v>0.13407633993330165</v>
      </c>
      <c r="H19" s="22">
        <f t="shared" si="6"/>
        <v>0.13305947321287759</v>
      </c>
      <c r="I19" s="22">
        <f t="shared" si="6"/>
        <v>0.1383282751338594</v>
      </c>
      <c r="J19" s="22">
        <f t="shared" si="6"/>
        <v>0.13469117386724075</v>
      </c>
      <c r="K19" s="22">
        <f t="shared" si="6"/>
        <v>0.15021192501570124</v>
      </c>
      <c r="L19" s="22">
        <f t="shared" si="6"/>
        <v>0.14072583620440107</v>
      </c>
      <c r="M19" s="22">
        <f t="shared" si="6"/>
        <v>1.4376458705689126</v>
      </c>
    </row>
    <row r="20" spans="1:13" outlineLevel="1" x14ac:dyDescent="0.2"/>
    <row r="21" spans="1:13" outlineLevel="1" x14ac:dyDescent="0.2">
      <c r="B21" t="s">
        <v>22</v>
      </c>
      <c r="C21" s="23">
        <f>-IFERROR('Data Sheet'!B27,0)</f>
        <v>-116.9</v>
      </c>
      <c r="D21" s="23">
        <f>-IFERROR('Data Sheet'!C27,0)</f>
        <v>-91.53</v>
      </c>
      <c r="E21" s="23">
        <f>-IFERROR('Data Sheet'!D27,0)</f>
        <v>-42.76</v>
      </c>
      <c r="F21" s="23">
        <f>-IFERROR('Data Sheet'!E27,0)</f>
        <v>-52.47</v>
      </c>
      <c r="G21" s="23">
        <f>-IFERROR('Data Sheet'!F27,0)</f>
        <v>-77.86</v>
      </c>
      <c r="H21" s="23">
        <f>-IFERROR('Data Sheet'!G27,0)</f>
        <v>-68.69</v>
      </c>
      <c r="I21" s="23">
        <f>-IFERROR('Data Sheet'!H27,0)</f>
        <v>-72.78</v>
      </c>
      <c r="J21" s="23">
        <f>-IFERROR('Data Sheet'!I27,0)</f>
        <v>-87.16</v>
      </c>
      <c r="K21" s="23">
        <f>-IFERROR('Data Sheet'!J27,0)</f>
        <v>-129.81</v>
      </c>
      <c r="L21" s="23">
        <f>-IFERROR('Data Sheet'!K27,0)</f>
        <v>-290.2</v>
      </c>
      <c r="M21" s="23">
        <f>-IFERROR(SUM('Data Sheet'!H46:K46),0)</f>
        <v>-138.6</v>
      </c>
    </row>
    <row r="22" spans="1:13" outlineLevel="1" x14ac:dyDescent="0.2">
      <c r="B22" s="21" t="s">
        <v>69</v>
      </c>
      <c r="C22" s="22">
        <f>-C21/C6</f>
        <v>1.7614600379113214E-2</v>
      </c>
      <c r="D22" s="22">
        <f t="shared" ref="D22:M22" si="7">-D21/D6</f>
        <v>1.3500896077173264E-2</v>
      </c>
      <c r="E22" s="22">
        <f t="shared" si="7"/>
        <v>6.274072498110881E-3</v>
      </c>
      <c r="F22" s="22">
        <f t="shared" si="7"/>
        <v>7.235744328759567E-3</v>
      </c>
      <c r="G22" s="22">
        <f t="shared" si="7"/>
        <v>8.0789256875802851E-3</v>
      </c>
      <c r="H22" s="22">
        <f t="shared" si="7"/>
        <v>5.9205156339019981E-3</v>
      </c>
      <c r="I22" s="22">
        <f t="shared" si="7"/>
        <v>5.8573708469043572E-3</v>
      </c>
      <c r="J22" s="22">
        <f t="shared" si="7"/>
        <v>6.3236587255752668E-3</v>
      </c>
      <c r="K22" s="22">
        <f t="shared" si="7"/>
        <v>8.536846016500229E-3</v>
      </c>
      <c r="L22" s="22">
        <f t="shared" si="7"/>
        <v>1.6471509737034786E-2</v>
      </c>
      <c r="M22" s="22">
        <f t="shared" si="7"/>
        <v>7.1204616689519613E-3</v>
      </c>
    </row>
    <row r="23" spans="1:13" outlineLevel="1" x14ac:dyDescent="0.2"/>
    <row r="24" spans="1:13" outlineLevel="1" x14ac:dyDescent="0.2">
      <c r="B24" t="s">
        <v>21</v>
      </c>
      <c r="C24" s="23">
        <f>-IFERROR('Data Sheet'!B26,0)</f>
        <v>-116.79</v>
      </c>
      <c r="D24" s="23">
        <f>-IFERROR('Data Sheet'!C26,0)</f>
        <v>-126.04</v>
      </c>
      <c r="E24" s="23">
        <f>-IFERROR('Data Sheet'!D26,0)</f>
        <v>-116.04</v>
      </c>
      <c r="F24" s="23">
        <f>-IFERROR('Data Sheet'!E26,0)</f>
        <v>-122.57</v>
      </c>
      <c r="G24" s="23">
        <f>-IFERROR('Data Sheet'!F26,0)</f>
        <v>-241.71</v>
      </c>
      <c r="H24" s="23">
        <f>-IFERROR('Data Sheet'!G26,0)</f>
        <v>-254.74</v>
      </c>
      <c r="I24" s="23">
        <f>-IFERROR('Data Sheet'!H26,0)</f>
        <v>-278.01</v>
      </c>
      <c r="J24" s="23">
        <f>-IFERROR('Data Sheet'!I26,0)</f>
        <v>-304.08</v>
      </c>
      <c r="K24" s="23">
        <f>-IFERROR('Data Sheet'!J26,0)</f>
        <v>-377.15</v>
      </c>
      <c r="L24" s="23">
        <f>-IFERROR('Data Sheet'!K26,0)</f>
        <v>-600.74</v>
      </c>
      <c r="M24" s="23">
        <f>-IFERROR(SUM('Data Sheet'!H45:K45),0)</f>
        <v>-614.58999999999992</v>
      </c>
    </row>
    <row r="25" spans="1:13" outlineLevel="1" x14ac:dyDescent="0.2">
      <c r="B25" s="21" t="s">
        <v>70</v>
      </c>
      <c r="C25" s="22">
        <f t="shared" ref="C25:L25" si="8">-C24/C6</f>
        <v>1.7598025477131157E-2</v>
      </c>
      <c r="D25" s="22">
        <f t="shared" si="8"/>
        <v>1.8591204430972556E-2</v>
      </c>
      <c r="E25" s="22">
        <f t="shared" si="8"/>
        <v>1.7026271578128784E-2</v>
      </c>
      <c r="F25" s="22">
        <f t="shared" si="8"/>
        <v>1.6902709784182582E-2</v>
      </c>
      <c r="G25" s="22">
        <f t="shared" si="8"/>
        <v>2.5080363831813911E-2</v>
      </c>
      <c r="H25" s="22">
        <f t="shared" si="8"/>
        <v>2.1956502439659267E-2</v>
      </c>
      <c r="I25" s="22">
        <f t="shared" si="8"/>
        <v>2.237438402236714E-2</v>
      </c>
      <c r="J25" s="22">
        <f t="shared" si="8"/>
        <v>2.2061704282617337E-2</v>
      </c>
      <c r="K25" s="22">
        <f t="shared" si="8"/>
        <v>2.4802954126208004E-2</v>
      </c>
      <c r="L25" s="22">
        <f t="shared" si="8"/>
        <v>3.4097500893956856E-2</v>
      </c>
      <c r="M25" s="22">
        <f>-M24/M6</f>
        <v>3.1574058709388064E-2</v>
      </c>
    </row>
    <row r="26" spans="1:13" outlineLevel="1" x14ac:dyDescent="0.2"/>
    <row r="27" spans="1:13" outlineLevel="1" x14ac:dyDescent="0.2">
      <c r="A27" s="37"/>
      <c r="B27" s="37" t="s">
        <v>71</v>
      </c>
      <c r="C27" s="38">
        <f>IFERROR(SUM(C18,C21,C24),0)</f>
        <v>132.22000000000031</v>
      </c>
      <c r="D27" s="38">
        <f t="shared" ref="D27:M27" si="9">IFERROR(SUM(D18,D21,D24),0)</f>
        <v>573.55999999999926</v>
      </c>
      <c r="E27" s="38">
        <f t="shared" si="9"/>
        <v>680.1099999999999</v>
      </c>
      <c r="F27" s="38">
        <f t="shared" si="9"/>
        <v>610.86999999999966</v>
      </c>
      <c r="G27" s="38">
        <f t="shared" si="9"/>
        <v>972.58000000000015</v>
      </c>
      <c r="H27" s="38">
        <f t="shared" si="9"/>
        <v>1220.3300000000022</v>
      </c>
      <c r="I27" s="38">
        <f t="shared" si="9"/>
        <v>1367.9900000000025</v>
      </c>
      <c r="J27" s="38">
        <f t="shared" si="9"/>
        <v>1465.229999999998</v>
      </c>
      <c r="K27" s="38">
        <f t="shared" si="9"/>
        <v>1777.1400000000008</v>
      </c>
      <c r="L27" s="38">
        <f t="shared" si="9"/>
        <v>1588.4099999999996</v>
      </c>
      <c r="M27" s="38">
        <f t="shared" si="9"/>
        <v>27230.63</v>
      </c>
    </row>
    <row r="28" spans="1:13" outlineLevel="1" x14ac:dyDescent="0.2">
      <c r="B28" s="21" t="s">
        <v>72</v>
      </c>
      <c r="C28" s="29">
        <f>C27/C6</f>
        <v>1.9923032182432458E-2</v>
      </c>
      <c r="D28" s="29">
        <f t="shared" ref="D28:M28" si="10">D27/D6</f>
        <v>8.4601485349322478E-2</v>
      </c>
      <c r="E28" s="29">
        <f t="shared" si="10"/>
        <v>9.9790913159265457E-2</v>
      </c>
      <c r="F28" s="29">
        <f t="shared" si="10"/>
        <v>8.4240501965110626E-2</v>
      </c>
      <c r="G28" s="29">
        <f t="shared" si="10"/>
        <v>0.10091705041390747</v>
      </c>
      <c r="H28" s="29">
        <f t="shared" si="10"/>
        <v>0.10518245513931632</v>
      </c>
      <c r="I28" s="29">
        <f t="shared" si="10"/>
        <v>0.11009652026458788</v>
      </c>
      <c r="J28" s="29">
        <f t="shared" si="10"/>
        <v>0.10630581085904814</v>
      </c>
      <c r="K28" s="29">
        <f t="shared" si="10"/>
        <v>0.11687212487299301</v>
      </c>
      <c r="L28" s="29">
        <f t="shared" si="10"/>
        <v>9.0156825573409455E-2</v>
      </c>
      <c r="M28" s="29">
        <f t="shared" si="10"/>
        <v>1.3989513501905726</v>
      </c>
    </row>
    <row r="29" spans="1:13" outlineLevel="1" x14ac:dyDescent="0.2"/>
    <row r="30" spans="1:13" outlineLevel="1" x14ac:dyDescent="0.2">
      <c r="B30" t="s">
        <v>24</v>
      </c>
      <c r="C30" s="23">
        <f>-IFERROR('Data Sheet'!B29,0)</f>
        <v>-200.01</v>
      </c>
      <c r="D30" s="23">
        <f>-IFERROR('Data Sheet'!C29,0)</f>
        <v>-198.31</v>
      </c>
      <c r="E30" s="23">
        <f>-IFERROR('Data Sheet'!D29,0)</f>
        <v>-185.87</v>
      </c>
      <c r="F30" s="23">
        <f>-IFERROR('Data Sheet'!E29,0)</f>
        <v>-260.88</v>
      </c>
      <c r="G30" s="23">
        <f>-IFERROR('Data Sheet'!F29,0)</f>
        <v>-274.19</v>
      </c>
      <c r="H30" s="23">
        <f>-IFERROR('Data Sheet'!G29,0)</f>
        <v>-317.27</v>
      </c>
      <c r="I30" s="23">
        <f>-IFERROR('Data Sheet'!H29,0)</f>
        <v>-377.04</v>
      </c>
      <c r="J30" s="23">
        <f>-IFERROR('Data Sheet'!I29,0)</f>
        <v>-447.04</v>
      </c>
      <c r="K30" s="23">
        <f>-IFERROR('Data Sheet'!J29,0)</f>
        <v>-394.73</v>
      </c>
      <c r="L30" s="23">
        <f>-IFERROR('Data Sheet'!K29,0)</f>
        <v>-396.24</v>
      </c>
      <c r="M30" s="23">
        <f>-IFERROR(SUM('Data Sheet'!H48:K48),0)</f>
        <v>-504.96000000000004</v>
      </c>
    </row>
    <row r="31" spans="1:13" outlineLevel="1" x14ac:dyDescent="0.2">
      <c r="A31" s="21"/>
      <c r="B31" s="29" t="s">
        <v>27</v>
      </c>
      <c r="C31" s="29">
        <f>-C30/C27</f>
        <v>1.5127060959007679</v>
      </c>
      <c r="D31" s="29">
        <f t="shared" ref="D31:M31" si="11">-D30/D27</f>
        <v>0.3457528418997145</v>
      </c>
      <c r="E31" s="29">
        <f t="shared" si="11"/>
        <v>0.27329402596638785</v>
      </c>
      <c r="F31" s="29">
        <f t="shared" si="11"/>
        <v>0.42706304123626981</v>
      </c>
      <c r="G31" s="29">
        <f t="shared" si="11"/>
        <v>0.28192025334676835</v>
      </c>
      <c r="H31" s="29">
        <f t="shared" si="11"/>
        <v>0.25998705268247063</v>
      </c>
      <c r="I31" s="29">
        <f t="shared" si="11"/>
        <v>0.2756160498249251</v>
      </c>
      <c r="J31" s="29">
        <f t="shared" si="11"/>
        <v>0.30509885819973698</v>
      </c>
      <c r="K31" s="29">
        <f t="shared" si="11"/>
        <v>0.22211530886705597</v>
      </c>
      <c r="L31" s="29">
        <f t="shared" si="11"/>
        <v>0.24945700417398536</v>
      </c>
      <c r="M31" s="29">
        <f t="shared" si="11"/>
        <v>1.8543823628024765E-2</v>
      </c>
    </row>
    <row r="32" spans="1:13" outlineLevel="1" x14ac:dyDescent="0.2"/>
    <row r="33" spans="1:1021 1033:2041 2053:3061 3073:4093 4105:5113 5125:6133 6145:7165 7177:8185 8197:9205 9217:10237 10249:11257 11269:12277 12289:13309 13321:14329 14341:15349 15361:16381" outlineLevel="1" x14ac:dyDescent="0.2">
      <c r="A33" s="37"/>
      <c r="B33" s="37" t="s">
        <v>73</v>
      </c>
      <c r="C33" s="38">
        <f>C27+C30</f>
        <v>-67.789999999999679</v>
      </c>
      <c r="D33" s="38">
        <f t="shared" ref="D33:M33" si="12">D27+D30</f>
        <v>375.24999999999926</v>
      </c>
      <c r="E33" s="38">
        <f t="shared" si="12"/>
        <v>494.2399999999999</v>
      </c>
      <c r="F33" s="38">
        <f t="shared" si="12"/>
        <v>349.98999999999967</v>
      </c>
      <c r="G33" s="38">
        <f t="shared" si="12"/>
        <v>698.3900000000001</v>
      </c>
      <c r="H33" s="38">
        <f t="shared" si="12"/>
        <v>903.06000000000222</v>
      </c>
      <c r="I33" s="38">
        <f t="shared" si="12"/>
        <v>990.95000000000255</v>
      </c>
      <c r="J33" s="38">
        <f t="shared" si="12"/>
        <v>1018.189999999998</v>
      </c>
      <c r="K33" s="38">
        <f t="shared" si="12"/>
        <v>1382.4100000000008</v>
      </c>
      <c r="L33" s="38">
        <f t="shared" si="12"/>
        <v>1192.1699999999996</v>
      </c>
      <c r="M33" s="38">
        <f t="shared" si="12"/>
        <v>26725.670000000002</v>
      </c>
    </row>
    <row r="34" spans="1:1021 1033:2041 2053:3061 3073:4093 4105:5113 5125:6133 6145:7165 7177:8185 8197:9205 9217:10237 10249:11257 11269:12277 12289:13309 13321:14329 14341:15349 15361:16381" outlineLevel="1" x14ac:dyDescent="0.2">
      <c r="B34" s="29" t="s">
        <v>74</v>
      </c>
      <c r="C34" s="30">
        <f>C33/C6</f>
        <v>-1.02146600487603E-2</v>
      </c>
      <c r="D34" s="30">
        <f t="shared" ref="D34:M34" si="13">D33/D6</f>
        <v>5.5350281360857172E-2</v>
      </c>
      <c r="E34" s="30">
        <f t="shared" si="13"/>
        <v>7.2518652747107615E-2</v>
      </c>
      <c r="F34" s="30">
        <f t="shared" si="13"/>
        <v>4.8264497000620514E-2</v>
      </c>
      <c r="G34" s="30">
        <f t="shared" si="13"/>
        <v>7.2466489994210084E-2</v>
      </c>
      <c r="H34" s="30">
        <f t="shared" si="13"/>
        <v>7.7836378633739281E-2</v>
      </c>
      <c r="I34" s="30">
        <f t="shared" si="13"/>
        <v>7.975215224979236E-2</v>
      </c>
      <c r="J34" s="30">
        <f t="shared" si="13"/>
        <v>7.3872029345955353E-2</v>
      </c>
      <c r="K34" s="30">
        <f t="shared" si="13"/>
        <v>9.0913036758879032E-2</v>
      </c>
      <c r="L34" s="30">
        <f t="shared" si="13"/>
        <v>6.7666573960030174E-2</v>
      </c>
      <c r="M34" s="30">
        <f t="shared" si="13"/>
        <v>1.3730094430884516</v>
      </c>
    </row>
    <row r="35" spans="1:1021 1033:2041 2053:3061 3073:4093 4105:5113 5125:6133 6145:7165 7177:8185 8197:9205 9217:10237 10249:11257 11269:12277 12289:13309 13321:14329 14341:15349 15361:16381" outlineLevel="1" x14ac:dyDescent="0.2"/>
    <row r="36" spans="1:1021 1033:2041 2053:3061 3073:4093 4105:5113 5125:6133 6145:7165 7177:8185 8197:9205 9217:10237 10249:11257 11269:12277 12289:13309 13321:14329 14341:15349 15361:16381" outlineLevel="1" x14ac:dyDescent="0.2">
      <c r="B36" t="s">
        <v>75</v>
      </c>
      <c r="C36">
        <f>IFERROR('Data Sheet'!B93,0)</f>
        <v>65.540000000000006</v>
      </c>
      <c r="D36">
        <f>IFERROR('Data Sheet'!C93,0)</f>
        <v>65.540000000000006</v>
      </c>
      <c r="E36">
        <f>IFERROR('Data Sheet'!D93,0)</f>
        <v>65.540000000000006</v>
      </c>
      <c r="F36">
        <f>IFERROR('Data Sheet'!E93,0)</f>
        <v>65.540000000000006</v>
      </c>
      <c r="G36">
        <f>IFERROR('Data Sheet'!F93,0)</f>
        <v>95.7</v>
      </c>
      <c r="H36">
        <f>IFERROR('Data Sheet'!G93,0)</f>
        <v>95.7</v>
      </c>
      <c r="I36">
        <f>IFERROR('Data Sheet'!H93,0)</f>
        <v>95.7</v>
      </c>
      <c r="J36">
        <f>IFERROR('Data Sheet'!I93,0)</f>
        <v>96.47</v>
      </c>
      <c r="K36">
        <f>IFERROR('Data Sheet'!J93,0)</f>
        <v>98.95</v>
      </c>
      <c r="L36">
        <f>IFERROR('Data Sheet'!K93,0)</f>
        <v>98.95</v>
      </c>
      <c r="M36">
        <f>L36</f>
        <v>98.95</v>
      </c>
    </row>
    <row r="37" spans="1:1021 1033:2041 2053:3061 3073:4093 4105:5113 5125:6133 6145:7165 7177:8185 8197:9205 9217:10237 10249:11257 11269:12277 12289:13309 13321:14329 14341:15349 15361:16381" outlineLevel="1" x14ac:dyDescent="0.2"/>
    <row r="38" spans="1:1021 1033:2041 2053:3061 3073:4093 4105:5113 5125:6133 6145:7165 7177:8185 8197:9205 9217:10237 10249:11257 11269:12277 12289:13309 13321:14329 14341:15349 15361:16381" outlineLevel="1" x14ac:dyDescent="0.2">
      <c r="B38" t="s">
        <v>77</v>
      </c>
      <c r="C38" s="23">
        <f>IFERROR(C33/C36,0)</f>
        <v>-1.0343301800427169</v>
      </c>
      <c r="D38" s="23">
        <f t="shared" ref="D38:M38" si="14">IFERROR(D33/D36,0)</f>
        <v>5.7255111382361799</v>
      </c>
      <c r="E38" s="23">
        <f t="shared" si="14"/>
        <v>7.5410436374732965</v>
      </c>
      <c r="F38" s="23">
        <f t="shared" si="14"/>
        <v>5.340097650289894</v>
      </c>
      <c r="G38" s="23">
        <f t="shared" si="14"/>
        <v>7.2977011494252881</v>
      </c>
      <c r="H38" s="23">
        <f t="shared" si="14"/>
        <v>9.4363636363636587</v>
      </c>
      <c r="I38" s="23">
        <f t="shared" si="14"/>
        <v>10.354754440961363</v>
      </c>
      <c r="J38" s="23">
        <f t="shared" si="14"/>
        <v>10.554472893127377</v>
      </c>
      <c r="K38" s="23">
        <f t="shared" si="14"/>
        <v>13.970793329964636</v>
      </c>
      <c r="L38" s="23">
        <f t="shared" si="14"/>
        <v>12.048206164729658</v>
      </c>
      <c r="M38" s="23">
        <f t="shared" si="14"/>
        <v>270.09267306720568</v>
      </c>
    </row>
    <row r="39" spans="1:1021 1033:2041 2053:3061 3073:4093 4105:5113 5125:6133 6145:7165 7177:8185 8197:9205 9217:10237 10249:11257 11269:12277 12289:13309 13321:14329 14341:15349 15361:16381" s="30" customFormat="1" outlineLevel="1" x14ac:dyDescent="0.2">
      <c r="A39" s="29"/>
      <c r="B39" s="30" t="s">
        <v>79</v>
      </c>
      <c r="D39" s="30">
        <f>IFERROR((D38-C38)/C38,0)</f>
        <v>-6.5354772090278956</v>
      </c>
      <c r="E39" s="30">
        <f t="shared" ref="E39:M39" si="15">IFERROR((E38-D38)/D38,0)</f>
        <v>0.31709526982012226</v>
      </c>
      <c r="F39" s="30">
        <f t="shared" si="15"/>
        <v>-0.29186225315636177</v>
      </c>
      <c r="G39" s="30">
        <f t="shared" si="15"/>
        <v>0.36658571197272455</v>
      </c>
      <c r="H39" s="30">
        <f t="shared" si="15"/>
        <v>0.29305975171466092</v>
      </c>
      <c r="I39" s="30">
        <f t="shared" si="15"/>
        <v>9.7324651739640902E-2</v>
      </c>
      <c r="J39" s="30">
        <f t="shared" si="15"/>
        <v>1.9287608731305791E-2</v>
      </c>
      <c r="K39" s="30">
        <f t="shared" si="15"/>
        <v>0.32368460949497735</v>
      </c>
      <c r="L39" s="30">
        <f t="shared" si="15"/>
        <v>-0.13761474526370682</v>
      </c>
      <c r="M39" s="30">
        <f t="shared" si="15"/>
        <v>21.417666943472835</v>
      </c>
      <c r="Y39" s="29"/>
      <c r="AK39" s="29"/>
      <c r="AW39" s="29"/>
      <c r="BI39" s="29"/>
      <c r="BU39" s="29"/>
      <c r="CG39" s="29"/>
      <c r="CS39" s="29"/>
      <c r="DE39" s="29"/>
      <c r="DQ39" s="29"/>
      <c r="EC39" s="29"/>
      <c r="EO39" s="29"/>
      <c r="FA39" s="29"/>
      <c r="FM39" s="29"/>
      <c r="FY39" s="29"/>
      <c r="GK39" s="29"/>
      <c r="GW39" s="29"/>
      <c r="HI39" s="29"/>
      <c r="HU39" s="29"/>
      <c r="IG39" s="29"/>
      <c r="IS39" s="29"/>
      <c r="JE39" s="29"/>
      <c r="JQ39" s="29"/>
      <c r="KC39" s="29"/>
      <c r="KO39" s="29"/>
      <c r="LA39" s="29"/>
      <c r="LM39" s="29"/>
      <c r="LY39" s="29"/>
      <c r="MK39" s="29"/>
      <c r="MW39" s="29"/>
      <c r="NI39" s="29"/>
      <c r="NU39" s="29"/>
      <c r="OG39" s="29"/>
      <c r="OS39" s="29"/>
      <c r="PE39" s="29"/>
      <c r="PQ39" s="29"/>
      <c r="QC39" s="29"/>
      <c r="QO39" s="29"/>
      <c r="RA39" s="29"/>
      <c r="RM39" s="29"/>
      <c r="RY39" s="29"/>
      <c r="SK39" s="29"/>
      <c r="SW39" s="29"/>
      <c r="TI39" s="29"/>
      <c r="TU39" s="29"/>
      <c r="UG39" s="29"/>
      <c r="US39" s="29"/>
      <c r="VE39" s="29"/>
      <c r="VQ39" s="29"/>
      <c r="WC39" s="29"/>
      <c r="WO39" s="29"/>
      <c r="XA39" s="29"/>
      <c r="XM39" s="29"/>
      <c r="XY39" s="29"/>
      <c r="YK39" s="29"/>
      <c r="YW39" s="29"/>
      <c r="ZI39" s="29"/>
      <c r="ZU39" s="29"/>
      <c r="AAG39" s="29"/>
      <c r="AAS39" s="29"/>
      <c r="ABE39" s="29"/>
      <c r="ABQ39" s="29"/>
      <c r="ACC39" s="29"/>
      <c r="ACO39" s="29"/>
      <c r="ADA39" s="29"/>
      <c r="ADM39" s="29"/>
      <c r="ADY39" s="29"/>
      <c r="AEK39" s="29"/>
      <c r="AEW39" s="29"/>
      <c r="AFI39" s="29"/>
      <c r="AFU39" s="29"/>
      <c r="AGG39" s="29"/>
      <c r="AGS39" s="29"/>
      <c r="AHE39" s="29"/>
      <c r="AHQ39" s="29"/>
      <c r="AIC39" s="29"/>
      <c r="AIO39" s="29"/>
      <c r="AJA39" s="29"/>
      <c r="AJM39" s="29"/>
      <c r="AJY39" s="29"/>
      <c r="AKK39" s="29"/>
      <c r="AKW39" s="29"/>
      <c r="ALI39" s="29"/>
      <c r="ALU39" s="29"/>
      <c r="AMG39" s="29"/>
      <c r="AMS39" s="29"/>
      <c r="ANE39" s="29"/>
      <c r="ANQ39" s="29"/>
      <c r="AOC39" s="29"/>
      <c r="AOO39" s="29"/>
      <c r="APA39" s="29"/>
      <c r="APM39" s="29"/>
      <c r="APY39" s="29"/>
      <c r="AQK39" s="29"/>
      <c r="AQW39" s="29"/>
      <c r="ARI39" s="29"/>
      <c r="ARU39" s="29"/>
      <c r="ASG39" s="29"/>
      <c r="ASS39" s="29"/>
      <c r="ATE39" s="29"/>
      <c r="ATQ39" s="29"/>
      <c r="AUC39" s="29"/>
      <c r="AUO39" s="29"/>
      <c r="AVA39" s="29"/>
      <c r="AVM39" s="29"/>
      <c r="AVY39" s="29"/>
      <c r="AWK39" s="29"/>
      <c r="AWW39" s="29"/>
      <c r="AXI39" s="29"/>
      <c r="AXU39" s="29"/>
      <c r="AYG39" s="29"/>
      <c r="AYS39" s="29"/>
      <c r="AZE39" s="29"/>
      <c r="AZQ39" s="29"/>
      <c r="BAC39" s="29"/>
      <c r="BAO39" s="29"/>
      <c r="BBA39" s="29"/>
      <c r="BBM39" s="29"/>
      <c r="BBY39" s="29"/>
      <c r="BCK39" s="29"/>
      <c r="BCW39" s="29"/>
      <c r="BDI39" s="29"/>
      <c r="BDU39" s="29"/>
      <c r="BEG39" s="29"/>
      <c r="BES39" s="29"/>
      <c r="BFE39" s="29"/>
      <c r="BFQ39" s="29"/>
      <c r="BGC39" s="29"/>
      <c r="BGO39" s="29"/>
      <c r="BHA39" s="29"/>
      <c r="BHM39" s="29"/>
      <c r="BHY39" s="29"/>
      <c r="BIK39" s="29"/>
      <c r="BIW39" s="29"/>
      <c r="BJI39" s="29"/>
      <c r="BJU39" s="29"/>
      <c r="BKG39" s="29"/>
      <c r="BKS39" s="29"/>
      <c r="BLE39" s="29"/>
      <c r="BLQ39" s="29"/>
      <c r="BMC39" s="29"/>
      <c r="BMO39" s="29"/>
      <c r="BNA39" s="29"/>
      <c r="BNM39" s="29"/>
      <c r="BNY39" s="29"/>
      <c r="BOK39" s="29"/>
      <c r="BOW39" s="29"/>
      <c r="BPI39" s="29"/>
      <c r="BPU39" s="29"/>
      <c r="BQG39" s="29"/>
      <c r="BQS39" s="29"/>
      <c r="BRE39" s="29"/>
      <c r="BRQ39" s="29"/>
      <c r="BSC39" s="29"/>
      <c r="BSO39" s="29"/>
      <c r="BTA39" s="29"/>
      <c r="BTM39" s="29"/>
      <c r="BTY39" s="29"/>
      <c r="BUK39" s="29"/>
      <c r="BUW39" s="29"/>
      <c r="BVI39" s="29"/>
      <c r="BVU39" s="29"/>
      <c r="BWG39" s="29"/>
      <c r="BWS39" s="29"/>
      <c r="BXE39" s="29"/>
      <c r="BXQ39" s="29"/>
      <c r="BYC39" s="29"/>
      <c r="BYO39" s="29"/>
      <c r="BZA39" s="29"/>
      <c r="BZM39" s="29"/>
      <c r="BZY39" s="29"/>
      <c r="CAK39" s="29"/>
      <c r="CAW39" s="29"/>
      <c r="CBI39" s="29"/>
      <c r="CBU39" s="29"/>
      <c r="CCG39" s="29"/>
      <c r="CCS39" s="29"/>
      <c r="CDE39" s="29"/>
      <c r="CDQ39" s="29"/>
      <c r="CEC39" s="29"/>
      <c r="CEO39" s="29"/>
      <c r="CFA39" s="29"/>
      <c r="CFM39" s="29"/>
      <c r="CFY39" s="29"/>
      <c r="CGK39" s="29"/>
      <c r="CGW39" s="29"/>
      <c r="CHI39" s="29"/>
      <c r="CHU39" s="29"/>
      <c r="CIG39" s="29"/>
      <c r="CIS39" s="29"/>
      <c r="CJE39" s="29"/>
      <c r="CJQ39" s="29"/>
      <c r="CKC39" s="29"/>
      <c r="CKO39" s="29"/>
      <c r="CLA39" s="29"/>
      <c r="CLM39" s="29"/>
      <c r="CLY39" s="29"/>
      <c r="CMK39" s="29"/>
      <c r="CMW39" s="29"/>
      <c r="CNI39" s="29"/>
      <c r="CNU39" s="29"/>
      <c r="COG39" s="29"/>
      <c r="COS39" s="29"/>
      <c r="CPE39" s="29"/>
      <c r="CPQ39" s="29"/>
      <c r="CQC39" s="29"/>
      <c r="CQO39" s="29"/>
      <c r="CRA39" s="29"/>
      <c r="CRM39" s="29"/>
      <c r="CRY39" s="29"/>
      <c r="CSK39" s="29"/>
      <c r="CSW39" s="29"/>
      <c r="CTI39" s="29"/>
      <c r="CTU39" s="29"/>
      <c r="CUG39" s="29"/>
      <c r="CUS39" s="29"/>
      <c r="CVE39" s="29"/>
      <c r="CVQ39" s="29"/>
      <c r="CWC39" s="29"/>
      <c r="CWO39" s="29"/>
      <c r="CXA39" s="29"/>
      <c r="CXM39" s="29"/>
      <c r="CXY39" s="29"/>
      <c r="CYK39" s="29"/>
      <c r="CYW39" s="29"/>
      <c r="CZI39" s="29"/>
      <c r="CZU39" s="29"/>
      <c r="DAG39" s="29"/>
      <c r="DAS39" s="29"/>
      <c r="DBE39" s="29"/>
      <c r="DBQ39" s="29"/>
      <c r="DCC39" s="29"/>
      <c r="DCO39" s="29"/>
      <c r="DDA39" s="29"/>
      <c r="DDM39" s="29"/>
      <c r="DDY39" s="29"/>
      <c r="DEK39" s="29"/>
      <c r="DEW39" s="29"/>
      <c r="DFI39" s="29"/>
      <c r="DFU39" s="29"/>
      <c r="DGG39" s="29"/>
      <c r="DGS39" s="29"/>
      <c r="DHE39" s="29"/>
      <c r="DHQ39" s="29"/>
      <c r="DIC39" s="29"/>
      <c r="DIO39" s="29"/>
      <c r="DJA39" s="29"/>
      <c r="DJM39" s="29"/>
      <c r="DJY39" s="29"/>
      <c r="DKK39" s="29"/>
      <c r="DKW39" s="29"/>
      <c r="DLI39" s="29"/>
      <c r="DLU39" s="29"/>
      <c r="DMG39" s="29"/>
      <c r="DMS39" s="29"/>
      <c r="DNE39" s="29"/>
      <c r="DNQ39" s="29"/>
      <c r="DOC39" s="29"/>
      <c r="DOO39" s="29"/>
      <c r="DPA39" s="29"/>
      <c r="DPM39" s="29"/>
      <c r="DPY39" s="29"/>
      <c r="DQK39" s="29"/>
      <c r="DQW39" s="29"/>
      <c r="DRI39" s="29"/>
      <c r="DRU39" s="29"/>
      <c r="DSG39" s="29"/>
      <c r="DSS39" s="29"/>
      <c r="DTE39" s="29"/>
      <c r="DTQ39" s="29"/>
      <c r="DUC39" s="29"/>
      <c r="DUO39" s="29"/>
      <c r="DVA39" s="29"/>
      <c r="DVM39" s="29"/>
      <c r="DVY39" s="29"/>
      <c r="DWK39" s="29"/>
      <c r="DWW39" s="29"/>
      <c r="DXI39" s="29"/>
      <c r="DXU39" s="29"/>
      <c r="DYG39" s="29"/>
      <c r="DYS39" s="29"/>
      <c r="DZE39" s="29"/>
      <c r="DZQ39" s="29"/>
      <c r="EAC39" s="29"/>
      <c r="EAO39" s="29"/>
      <c r="EBA39" s="29"/>
      <c r="EBM39" s="29"/>
      <c r="EBY39" s="29"/>
      <c r="ECK39" s="29"/>
      <c r="ECW39" s="29"/>
      <c r="EDI39" s="29"/>
      <c r="EDU39" s="29"/>
      <c r="EEG39" s="29"/>
      <c r="EES39" s="29"/>
      <c r="EFE39" s="29"/>
      <c r="EFQ39" s="29"/>
      <c r="EGC39" s="29"/>
      <c r="EGO39" s="29"/>
      <c r="EHA39" s="29"/>
      <c r="EHM39" s="29"/>
      <c r="EHY39" s="29"/>
      <c r="EIK39" s="29"/>
      <c r="EIW39" s="29"/>
      <c r="EJI39" s="29"/>
      <c r="EJU39" s="29"/>
      <c r="EKG39" s="29"/>
      <c r="EKS39" s="29"/>
      <c r="ELE39" s="29"/>
      <c r="ELQ39" s="29"/>
      <c r="EMC39" s="29"/>
      <c r="EMO39" s="29"/>
      <c r="ENA39" s="29"/>
      <c r="ENM39" s="29"/>
      <c r="ENY39" s="29"/>
      <c r="EOK39" s="29"/>
      <c r="EOW39" s="29"/>
      <c r="EPI39" s="29"/>
      <c r="EPU39" s="29"/>
      <c r="EQG39" s="29"/>
      <c r="EQS39" s="29"/>
      <c r="ERE39" s="29"/>
      <c r="ERQ39" s="29"/>
      <c r="ESC39" s="29"/>
      <c r="ESO39" s="29"/>
      <c r="ETA39" s="29"/>
      <c r="ETM39" s="29"/>
      <c r="ETY39" s="29"/>
      <c r="EUK39" s="29"/>
      <c r="EUW39" s="29"/>
      <c r="EVI39" s="29"/>
      <c r="EVU39" s="29"/>
      <c r="EWG39" s="29"/>
      <c r="EWS39" s="29"/>
      <c r="EXE39" s="29"/>
      <c r="EXQ39" s="29"/>
      <c r="EYC39" s="29"/>
      <c r="EYO39" s="29"/>
      <c r="EZA39" s="29"/>
      <c r="EZM39" s="29"/>
      <c r="EZY39" s="29"/>
      <c r="FAK39" s="29"/>
      <c r="FAW39" s="29"/>
      <c r="FBI39" s="29"/>
      <c r="FBU39" s="29"/>
      <c r="FCG39" s="29"/>
      <c r="FCS39" s="29"/>
      <c r="FDE39" s="29"/>
      <c r="FDQ39" s="29"/>
      <c r="FEC39" s="29"/>
      <c r="FEO39" s="29"/>
      <c r="FFA39" s="29"/>
      <c r="FFM39" s="29"/>
      <c r="FFY39" s="29"/>
      <c r="FGK39" s="29"/>
      <c r="FGW39" s="29"/>
      <c r="FHI39" s="29"/>
      <c r="FHU39" s="29"/>
      <c r="FIG39" s="29"/>
      <c r="FIS39" s="29"/>
      <c r="FJE39" s="29"/>
      <c r="FJQ39" s="29"/>
      <c r="FKC39" s="29"/>
      <c r="FKO39" s="29"/>
      <c r="FLA39" s="29"/>
      <c r="FLM39" s="29"/>
      <c r="FLY39" s="29"/>
      <c r="FMK39" s="29"/>
      <c r="FMW39" s="29"/>
      <c r="FNI39" s="29"/>
      <c r="FNU39" s="29"/>
      <c r="FOG39" s="29"/>
      <c r="FOS39" s="29"/>
      <c r="FPE39" s="29"/>
      <c r="FPQ39" s="29"/>
      <c r="FQC39" s="29"/>
      <c r="FQO39" s="29"/>
      <c r="FRA39" s="29"/>
      <c r="FRM39" s="29"/>
      <c r="FRY39" s="29"/>
      <c r="FSK39" s="29"/>
      <c r="FSW39" s="29"/>
      <c r="FTI39" s="29"/>
      <c r="FTU39" s="29"/>
      <c r="FUG39" s="29"/>
      <c r="FUS39" s="29"/>
      <c r="FVE39" s="29"/>
      <c r="FVQ39" s="29"/>
      <c r="FWC39" s="29"/>
      <c r="FWO39" s="29"/>
      <c r="FXA39" s="29"/>
      <c r="FXM39" s="29"/>
      <c r="FXY39" s="29"/>
      <c r="FYK39" s="29"/>
      <c r="FYW39" s="29"/>
      <c r="FZI39" s="29"/>
      <c r="FZU39" s="29"/>
      <c r="GAG39" s="29"/>
      <c r="GAS39" s="29"/>
      <c r="GBE39" s="29"/>
      <c r="GBQ39" s="29"/>
      <c r="GCC39" s="29"/>
      <c r="GCO39" s="29"/>
      <c r="GDA39" s="29"/>
      <c r="GDM39" s="29"/>
      <c r="GDY39" s="29"/>
      <c r="GEK39" s="29"/>
      <c r="GEW39" s="29"/>
      <c r="GFI39" s="29"/>
      <c r="GFU39" s="29"/>
      <c r="GGG39" s="29"/>
      <c r="GGS39" s="29"/>
      <c r="GHE39" s="29"/>
      <c r="GHQ39" s="29"/>
      <c r="GIC39" s="29"/>
      <c r="GIO39" s="29"/>
      <c r="GJA39" s="29"/>
      <c r="GJM39" s="29"/>
      <c r="GJY39" s="29"/>
      <c r="GKK39" s="29"/>
      <c r="GKW39" s="29"/>
      <c r="GLI39" s="29"/>
      <c r="GLU39" s="29"/>
      <c r="GMG39" s="29"/>
      <c r="GMS39" s="29"/>
      <c r="GNE39" s="29"/>
      <c r="GNQ39" s="29"/>
      <c r="GOC39" s="29"/>
      <c r="GOO39" s="29"/>
      <c r="GPA39" s="29"/>
      <c r="GPM39" s="29"/>
      <c r="GPY39" s="29"/>
      <c r="GQK39" s="29"/>
      <c r="GQW39" s="29"/>
      <c r="GRI39" s="29"/>
      <c r="GRU39" s="29"/>
      <c r="GSG39" s="29"/>
      <c r="GSS39" s="29"/>
      <c r="GTE39" s="29"/>
      <c r="GTQ39" s="29"/>
      <c r="GUC39" s="29"/>
      <c r="GUO39" s="29"/>
      <c r="GVA39" s="29"/>
      <c r="GVM39" s="29"/>
      <c r="GVY39" s="29"/>
      <c r="GWK39" s="29"/>
      <c r="GWW39" s="29"/>
      <c r="GXI39" s="29"/>
      <c r="GXU39" s="29"/>
      <c r="GYG39" s="29"/>
      <c r="GYS39" s="29"/>
      <c r="GZE39" s="29"/>
      <c r="GZQ39" s="29"/>
      <c r="HAC39" s="29"/>
      <c r="HAO39" s="29"/>
      <c r="HBA39" s="29"/>
      <c r="HBM39" s="29"/>
      <c r="HBY39" s="29"/>
      <c r="HCK39" s="29"/>
      <c r="HCW39" s="29"/>
      <c r="HDI39" s="29"/>
      <c r="HDU39" s="29"/>
      <c r="HEG39" s="29"/>
      <c r="HES39" s="29"/>
      <c r="HFE39" s="29"/>
      <c r="HFQ39" s="29"/>
      <c r="HGC39" s="29"/>
      <c r="HGO39" s="29"/>
      <c r="HHA39" s="29"/>
      <c r="HHM39" s="29"/>
      <c r="HHY39" s="29"/>
      <c r="HIK39" s="29"/>
      <c r="HIW39" s="29"/>
      <c r="HJI39" s="29"/>
      <c r="HJU39" s="29"/>
      <c r="HKG39" s="29"/>
      <c r="HKS39" s="29"/>
      <c r="HLE39" s="29"/>
      <c r="HLQ39" s="29"/>
      <c r="HMC39" s="29"/>
      <c r="HMO39" s="29"/>
      <c r="HNA39" s="29"/>
      <c r="HNM39" s="29"/>
      <c r="HNY39" s="29"/>
      <c r="HOK39" s="29"/>
      <c r="HOW39" s="29"/>
      <c r="HPI39" s="29"/>
      <c r="HPU39" s="29"/>
      <c r="HQG39" s="29"/>
      <c r="HQS39" s="29"/>
      <c r="HRE39" s="29"/>
      <c r="HRQ39" s="29"/>
      <c r="HSC39" s="29"/>
      <c r="HSO39" s="29"/>
      <c r="HTA39" s="29"/>
      <c r="HTM39" s="29"/>
      <c r="HTY39" s="29"/>
      <c r="HUK39" s="29"/>
      <c r="HUW39" s="29"/>
      <c r="HVI39" s="29"/>
      <c r="HVU39" s="29"/>
      <c r="HWG39" s="29"/>
      <c r="HWS39" s="29"/>
      <c r="HXE39" s="29"/>
      <c r="HXQ39" s="29"/>
      <c r="HYC39" s="29"/>
      <c r="HYO39" s="29"/>
      <c r="HZA39" s="29"/>
      <c r="HZM39" s="29"/>
      <c r="HZY39" s="29"/>
      <c r="IAK39" s="29"/>
      <c r="IAW39" s="29"/>
      <c r="IBI39" s="29"/>
      <c r="IBU39" s="29"/>
      <c r="ICG39" s="29"/>
      <c r="ICS39" s="29"/>
      <c r="IDE39" s="29"/>
      <c r="IDQ39" s="29"/>
      <c r="IEC39" s="29"/>
      <c r="IEO39" s="29"/>
      <c r="IFA39" s="29"/>
      <c r="IFM39" s="29"/>
      <c r="IFY39" s="29"/>
      <c r="IGK39" s="29"/>
      <c r="IGW39" s="29"/>
      <c r="IHI39" s="29"/>
      <c r="IHU39" s="29"/>
      <c r="IIG39" s="29"/>
      <c r="IIS39" s="29"/>
      <c r="IJE39" s="29"/>
      <c r="IJQ39" s="29"/>
      <c r="IKC39" s="29"/>
      <c r="IKO39" s="29"/>
      <c r="ILA39" s="29"/>
      <c r="ILM39" s="29"/>
      <c r="ILY39" s="29"/>
      <c r="IMK39" s="29"/>
      <c r="IMW39" s="29"/>
      <c r="INI39" s="29"/>
      <c r="INU39" s="29"/>
      <c r="IOG39" s="29"/>
      <c r="IOS39" s="29"/>
      <c r="IPE39" s="29"/>
      <c r="IPQ39" s="29"/>
      <c r="IQC39" s="29"/>
      <c r="IQO39" s="29"/>
      <c r="IRA39" s="29"/>
      <c r="IRM39" s="29"/>
      <c r="IRY39" s="29"/>
      <c r="ISK39" s="29"/>
      <c r="ISW39" s="29"/>
      <c r="ITI39" s="29"/>
      <c r="ITU39" s="29"/>
      <c r="IUG39" s="29"/>
      <c r="IUS39" s="29"/>
      <c r="IVE39" s="29"/>
      <c r="IVQ39" s="29"/>
      <c r="IWC39" s="29"/>
      <c r="IWO39" s="29"/>
      <c r="IXA39" s="29"/>
      <c r="IXM39" s="29"/>
      <c r="IXY39" s="29"/>
      <c r="IYK39" s="29"/>
      <c r="IYW39" s="29"/>
      <c r="IZI39" s="29"/>
      <c r="IZU39" s="29"/>
      <c r="JAG39" s="29"/>
      <c r="JAS39" s="29"/>
      <c r="JBE39" s="29"/>
      <c r="JBQ39" s="29"/>
      <c r="JCC39" s="29"/>
      <c r="JCO39" s="29"/>
      <c r="JDA39" s="29"/>
      <c r="JDM39" s="29"/>
      <c r="JDY39" s="29"/>
      <c r="JEK39" s="29"/>
      <c r="JEW39" s="29"/>
      <c r="JFI39" s="29"/>
      <c r="JFU39" s="29"/>
      <c r="JGG39" s="29"/>
      <c r="JGS39" s="29"/>
      <c r="JHE39" s="29"/>
      <c r="JHQ39" s="29"/>
      <c r="JIC39" s="29"/>
      <c r="JIO39" s="29"/>
      <c r="JJA39" s="29"/>
      <c r="JJM39" s="29"/>
      <c r="JJY39" s="29"/>
      <c r="JKK39" s="29"/>
      <c r="JKW39" s="29"/>
      <c r="JLI39" s="29"/>
      <c r="JLU39" s="29"/>
      <c r="JMG39" s="29"/>
      <c r="JMS39" s="29"/>
      <c r="JNE39" s="29"/>
      <c r="JNQ39" s="29"/>
      <c r="JOC39" s="29"/>
      <c r="JOO39" s="29"/>
      <c r="JPA39" s="29"/>
      <c r="JPM39" s="29"/>
      <c r="JPY39" s="29"/>
      <c r="JQK39" s="29"/>
      <c r="JQW39" s="29"/>
      <c r="JRI39" s="29"/>
      <c r="JRU39" s="29"/>
      <c r="JSG39" s="29"/>
      <c r="JSS39" s="29"/>
      <c r="JTE39" s="29"/>
      <c r="JTQ39" s="29"/>
      <c r="JUC39" s="29"/>
      <c r="JUO39" s="29"/>
      <c r="JVA39" s="29"/>
      <c r="JVM39" s="29"/>
      <c r="JVY39" s="29"/>
      <c r="JWK39" s="29"/>
      <c r="JWW39" s="29"/>
      <c r="JXI39" s="29"/>
      <c r="JXU39" s="29"/>
      <c r="JYG39" s="29"/>
      <c r="JYS39" s="29"/>
      <c r="JZE39" s="29"/>
      <c r="JZQ39" s="29"/>
      <c r="KAC39" s="29"/>
      <c r="KAO39" s="29"/>
      <c r="KBA39" s="29"/>
      <c r="KBM39" s="29"/>
      <c r="KBY39" s="29"/>
      <c r="KCK39" s="29"/>
      <c r="KCW39" s="29"/>
      <c r="KDI39" s="29"/>
      <c r="KDU39" s="29"/>
      <c r="KEG39" s="29"/>
      <c r="KES39" s="29"/>
      <c r="KFE39" s="29"/>
      <c r="KFQ39" s="29"/>
      <c r="KGC39" s="29"/>
      <c r="KGO39" s="29"/>
      <c r="KHA39" s="29"/>
      <c r="KHM39" s="29"/>
      <c r="KHY39" s="29"/>
      <c r="KIK39" s="29"/>
      <c r="KIW39" s="29"/>
      <c r="KJI39" s="29"/>
      <c r="KJU39" s="29"/>
      <c r="KKG39" s="29"/>
      <c r="KKS39" s="29"/>
      <c r="KLE39" s="29"/>
      <c r="KLQ39" s="29"/>
      <c r="KMC39" s="29"/>
      <c r="KMO39" s="29"/>
      <c r="KNA39" s="29"/>
      <c r="KNM39" s="29"/>
      <c r="KNY39" s="29"/>
      <c r="KOK39" s="29"/>
      <c r="KOW39" s="29"/>
      <c r="KPI39" s="29"/>
      <c r="KPU39" s="29"/>
      <c r="KQG39" s="29"/>
      <c r="KQS39" s="29"/>
      <c r="KRE39" s="29"/>
      <c r="KRQ39" s="29"/>
      <c r="KSC39" s="29"/>
      <c r="KSO39" s="29"/>
      <c r="KTA39" s="29"/>
      <c r="KTM39" s="29"/>
      <c r="KTY39" s="29"/>
      <c r="KUK39" s="29"/>
      <c r="KUW39" s="29"/>
      <c r="KVI39" s="29"/>
      <c r="KVU39" s="29"/>
      <c r="KWG39" s="29"/>
      <c r="KWS39" s="29"/>
      <c r="KXE39" s="29"/>
      <c r="KXQ39" s="29"/>
      <c r="KYC39" s="29"/>
      <c r="KYO39" s="29"/>
      <c r="KZA39" s="29"/>
      <c r="KZM39" s="29"/>
      <c r="KZY39" s="29"/>
      <c r="LAK39" s="29"/>
      <c r="LAW39" s="29"/>
      <c r="LBI39" s="29"/>
      <c r="LBU39" s="29"/>
      <c r="LCG39" s="29"/>
      <c r="LCS39" s="29"/>
      <c r="LDE39" s="29"/>
      <c r="LDQ39" s="29"/>
      <c r="LEC39" s="29"/>
      <c r="LEO39" s="29"/>
      <c r="LFA39" s="29"/>
      <c r="LFM39" s="29"/>
      <c r="LFY39" s="29"/>
      <c r="LGK39" s="29"/>
      <c r="LGW39" s="29"/>
      <c r="LHI39" s="29"/>
      <c r="LHU39" s="29"/>
      <c r="LIG39" s="29"/>
      <c r="LIS39" s="29"/>
      <c r="LJE39" s="29"/>
      <c r="LJQ39" s="29"/>
      <c r="LKC39" s="29"/>
      <c r="LKO39" s="29"/>
      <c r="LLA39" s="29"/>
      <c r="LLM39" s="29"/>
      <c r="LLY39" s="29"/>
      <c r="LMK39" s="29"/>
      <c r="LMW39" s="29"/>
      <c r="LNI39" s="29"/>
      <c r="LNU39" s="29"/>
      <c r="LOG39" s="29"/>
      <c r="LOS39" s="29"/>
      <c r="LPE39" s="29"/>
      <c r="LPQ39" s="29"/>
      <c r="LQC39" s="29"/>
      <c r="LQO39" s="29"/>
      <c r="LRA39" s="29"/>
      <c r="LRM39" s="29"/>
      <c r="LRY39" s="29"/>
      <c r="LSK39" s="29"/>
      <c r="LSW39" s="29"/>
      <c r="LTI39" s="29"/>
      <c r="LTU39" s="29"/>
      <c r="LUG39" s="29"/>
      <c r="LUS39" s="29"/>
      <c r="LVE39" s="29"/>
      <c r="LVQ39" s="29"/>
      <c r="LWC39" s="29"/>
      <c r="LWO39" s="29"/>
      <c r="LXA39" s="29"/>
      <c r="LXM39" s="29"/>
      <c r="LXY39" s="29"/>
      <c r="LYK39" s="29"/>
      <c r="LYW39" s="29"/>
      <c r="LZI39" s="29"/>
      <c r="LZU39" s="29"/>
      <c r="MAG39" s="29"/>
      <c r="MAS39" s="29"/>
      <c r="MBE39" s="29"/>
      <c r="MBQ39" s="29"/>
      <c r="MCC39" s="29"/>
      <c r="MCO39" s="29"/>
      <c r="MDA39" s="29"/>
      <c r="MDM39" s="29"/>
      <c r="MDY39" s="29"/>
      <c r="MEK39" s="29"/>
      <c r="MEW39" s="29"/>
      <c r="MFI39" s="29"/>
      <c r="MFU39" s="29"/>
      <c r="MGG39" s="29"/>
      <c r="MGS39" s="29"/>
      <c r="MHE39" s="29"/>
      <c r="MHQ39" s="29"/>
      <c r="MIC39" s="29"/>
      <c r="MIO39" s="29"/>
      <c r="MJA39" s="29"/>
      <c r="MJM39" s="29"/>
      <c r="MJY39" s="29"/>
      <c r="MKK39" s="29"/>
      <c r="MKW39" s="29"/>
      <c r="MLI39" s="29"/>
      <c r="MLU39" s="29"/>
      <c r="MMG39" s="29"/>
      <c r="MMS39" s="29"/>
      <c r="MNE39" s="29"/>
      <c r="MNQ39" s="29"/>
      <c r="MOC39" s="29"/>
      <c r="MOO39" s="29"/>
      <c r="MPA39" s="29"/>
      <c r="MPM39" s="29"/>
      <c r="MPY39" s="29"/>
      <c r="MQK39" s="29"/>
      <c r="MQW39" s="29"/>
      <c r="MRI39" s="29"/>
      <c r="MRU39" s="29"/>
      <c r="MSG39" s="29"/>
      <c r="MSS39" s="29"/>
      <c r="MTE39" s="29"/>
      <c r="MTQ39" s="29"/>
      <c r="MUC39" s="29"/>
      <c r="MUO39" s="29"/>
      <c r="MVA39" s="29"/>
      <c r="MVM39" s="29"/>
      <c r="MVY39" s="29"/>
      <c r="MWK39" s="29"/>
      <c r="MWW39" s="29"/>
      <c r="MXI39" s="29"/>
      <c r="MXU39" s="29"/>
      <c r="MYG39" s="29"/>
      <c r="MYS39" s="29"/>
      <c r="MZE39" s="29"/>
      <c r="MZQ39" s="29"/>
      <c r="NAC39" s="29"/>
      <c r="NAO39" s="29"/>
      <c r="NBA39" s="29"/>
      <c r="NBM39" s="29"/>
      <c r="NBY39" s="29"/>
      <c r="NCK39" s="29"/>
      <c r="NCW39" s="29"/>
      <c r="NDI39" s="29"/>
      <c r="NDU39" s="29"/>
      <c r="NEG39" s="29"/>
      <c r="NES39" s="29"/>
      <c r="NFE39" s="29"/>
      <c r="NFQ39" s="29"/>
      <c r="NGC39" s="29"/>
      <c r="NGO39" s="29"/>
      <c r="NHA39" s="29"/>
      <c r="NHM39" s="29"/>
      <c r="NHY39" s="29"/>
      <c r="NIK39" s="29"/>
      <c r="NIW39" s="29"/>
      <c r="NJI39" s="29"/>
      <c r="NJU39" s="29"/>
      <c r="NKG39" s="29"/>
      <c r="NKS39" s="29"/>
      <c r="NLE39" s="29"/>
      <c r="NLQ39" s="29"/>
      <c r="NMC39" s="29"/>
      <c r="NMO39" s="29"/>
      <c r="NNA39" s="29"/>
      <c r="NNM39" s="29"/>
      <c r="NNY39" s="29"/>
      <c r="NOK39" s="29"/>
      <c r="NOW39" s="29"/>
      <c r="NPI39" s="29"/>
      <c r="NPU39" s="29"/>
      <c r="NQG39" s="29"/>
      <c r="NQS39" s="29"/>
      <c r="NRE39" s="29"/>
      <c r="NRQ39" s="29"/>
      <c r="NSC39" s="29"/>
      <c r="NSO39" s="29"/>
      <c r="NTA39" s="29"/>
      <c r="NTM39" s="29"/>
      <c r="NTY39" s="29"/>
      <c r="NUK39" s="29"/>
      <c r="NUW39" s="29"/>
      <c r="NVI39" s="29"/>
      <c r="NVU39" s="29"/>
      <c r="NWG39" s="29"/>
      <c r="NWS39" s="29"/>
      <c r="NXE39" s="29"/>
      <c r="NXQ39" s="29"/>
      <c r="NYC39" s="29"/>
      <c r="NYO39" s="29"/>
      <c r="NZA39" s="29"/>
      <c r="NZM39" s="29"/>
      <c r="NZY39" s="29"/>
      <c r="OAK39" s="29"/>
      <c r="OAW39" s="29"/>
      <c r="OBI39" s="29"/>
      <c r="OBU39" s="29"/>
      <c r="OCG39" s="29"/>
      <c r="OCS39" s="29"/>
      <c r="ODE39" s="29"/>
      <c r="ODQ39" s="29"/>
      <c r="OEC39" s="29"/>
      <c r="OEO39" s="29"/>
      <c r="OFA39" s="29"/>
      <c r="OFM39" s="29"/>
      <c r="OFY39" s="29"/>
      <c r="OGK39" s="29"/>
      <c r="OGW39" s="29"/>
      <c r="OHI39" s="29"/>
      <c r="OHU39" s="29"/>
      <c r="OIG39" s="29"/>
      <c r="OIS39" s="29"/>
      <c r="OJE39" s="29"/>
      <c r="OJQ39" s="29"/>
      <c r="OKC39" s="29"/>
      <c r="OKO39" s="29"/>
      <c r="OLA39" s="29"/>
      <c r="OLM39" s="29"/>
      <c r="OLY39" s="29"/>
      <c r="OMK39" s="29"/>
      <c r="OMW39" s="29"/>
      <c r="ONI39" s="29"/>
      <c r="ONU39" s="29"/>
      <c r="OOG39" s="29"/>
      <c r="OOS39" s="29"/>
      <c r="OPE39" s="29"/>
      <c r="OPQ39" s="29"/>
      <c r="OQC39" s="29"/>
      <c r="OQO39" s="29"/>
      <c r="ORA39" s="29"/>
      <c r="ORM39" s="29"/>
      <c r="ORY39" s="29"/>
      <c r="OSK39" s="29"/>
      <c r="OSW39" s="29"/>
      <c r="OTI39" s="29"/>
      <c r="OTU39" s="29"/>
      <c r="OUG39" s="29"/>
      <c r="OUS39" s="29"/>
      <c r="OVE39" s="29"/>
      <c r="OVQ39" s="29"/>
      <c r="OWC39" s="29"/>
      <c r="OWO39" s="29"/>
      <c r="OXA39" s="29"/>
      <c r="OXM39" s="29"/>
      <c r="OXY39" s="29"/>
      <c r="OYK39" s="29"/>
      <c r="OYW39" s="29"/>
      <c r="OZI39" s="29"/>
      <c r="OZU39" s="29"/>
      <c r="PAG39" s="29"/>
      <c r="PAS39" s="29"/>
      <c r="PBE39" s="29"/>
      <c r="PBQ39" s="29"/>
      <c r="PCC39" s="29"/>
      <c r="PCO39" s="29"/>
      <c r="PDA39" s="29"/>
      <c r="PDM39" s="29"/>
      <c r="PDY39" s="29"/>
      <c r="PEK39" s="29"/>
      <c r="PEW39" s="29"/>
      <c r="PFI39" s="29"/>
      <c r="PFU39" s="29"/>
      <c r="PGG39" s="29"/>
      <c r="PGS39" s="29"/>
      <c r="PHE39" s="29"/>
      <c r="PHQ39" s="29"/>
      <c r="PIC39" s="29"/>
      <c r="PIO39" s="29"/>
      <c r="PJA39" s="29"/>
      <c r="PJM39" s="29"/>
      <c r="PJY39" s="29"/>
      <c r="PKK39" s="29"/>
      <c r="PKW39" s="29"/>
      <c r="PLI39" s="29"/>
      <c r="PLU39" s="29"/>
      <c r="PMG39" s="29"/>
      <c r="PMS39" s="29"/>
      <c r="PNE39" s="29"/>
      <c r="PNQ39" s="29"/>
      <c r="POC39" s="29"/>
      <c r="POO39" s="29"/>
      <c r="PPA39" s="29"/>
      <c r="PPM39" s="29"/>
      <c r="PPY39" s="29"/>
      <c r="PQK39" s="29"/>
      <c r="PQW39" s="29"/>
      <c r="PRI39" s="29"/>
      <c r="PRU39" s="29"/>
      <c r="PSG39" s="29"/>
      <c r="PSS39" s="29"/>
      <c r="PTE39" s="29"/>
      <c r="PTQ39" s="29"/>
      <c r="PUC39" s="29"/>
      <c r="PUO39" s="29"/>
      <c r="PVA39" s="29"/>
      <c r="PVM39" s="29"/>
      <c r="PVY39" s="29"/>
      <c r="PWK39" s="29"/>
      <c r="PWW39" s="29"/>
      <c r="PXI39" s="29"/>
      <c r="PXU39" s="29"/>
      <c r="PYG39" s="29"/>
      <c r="PYS39" s="29"/>
      <c r="PZE39" s="29"/>
      <c r="PZQ39" s="29"/>
      <c r="QAC39" s="29"/>
      <c r="QAO39" s="29"/>
      <c r="QBA39" s="29"/>
      <c r="QBM39" s="29"/>
      <c r="QBY39" s="29"/>
      <c r="QCK39" s="29"/>
      <c r="QCW39" s="29"/>
      <c r="QDI39" s="29"/>
      <c r="QDU39" s="29"/>
      <c r="QEG39" s="29"/>
      <c r="QES39" s="29"/>
      <c r="QFE39" s="29"/>
      <c r="QFQ39" s="29"/>
      <c r="QGC39" s="29"/>
      <c r="QGO39" s="29"/>
      <c r="QHA39" s="29"/>
      <c r="QHM39" s="29"/>
      <c r="QHY39" s="29"/>
      <c r="QIK39" s="29"/>
      <c r="QIW39" s="29"/>
      <c r="QJI39" s="29"/>
      <c r="QJU39" s="29"/>
      <c r="QKG39" s="29"/>
      <c r="QKS39" s="29"/>
      <c r="QLE39" s="29"/>
      <c r="QLQ39" s="29"/>
      <c r="QMC39" s="29"/>
      <c r="QMO39" s="29"/>
      <c r="QNA39" s="29"/>
      <c r="QNM39" s="29"/>
      <c r="QNY39" s="29"/>
      <c r="QOK39" s="29"/>
      <c r="QOW39" s="29"/>
      <c r="QPI39" s="29"/>
      <c r="QPU39" s="29"/>
      <c r="QQG39" s="29"/>
      <c r="QQS39" s="29"/>
      <c r="QRE39" s="29"/>
      <c r="QRQ39" s="29"/>
      <c r="QSC39" s="29"/>
      <c r="QSO39" s="29"/>
      <c r="QTA39" s="29"/>
      <c r="QTM39" s="29"/>
      <c r="QTY39" s="29"/>
      <c r="QUK39" s="29"/>
      <c r="QUW39" s="29"/>
      <c r="QVI39" s="29"/>
      <c r="QVU39" s="29"/>
      <c r="QWG39" s="29"/>
      <c r="QWS39" s="29"/>
      <c r="QXE39" s="29"/>
      <c r="QXQ39" s="29"/>
      <c r="QYC39" s="29"/>
      <c r="QYO39" s="29"/>
      <c r="QZA39" s="29"/>
      <c r="QZM39" s="29"/>
      <c r="QZY39" s="29"/>
      <c r="RAK39" s="29"/>
      <c r="RAW39" s="29"/>
      <c r="RBI39" s="29"/>
      <c r="RBU39" s="29"/>
      <c r="RCG39" s="29"/>
      <c r="RCS39" s="29"/>
      <c r="RDE39" s="29"/>
      <c r="RDQ39" s="29"/>
      <c r="REC39" s="29"/>
      <c r="REO39" s="29"/>
      <c r="RFA39" s="29"/>
      <c r="RFM39" s="29"/>
      <c r="RFY39" s="29"/>
      <c r="RGK39" s="29"/>
      <c r="RGW39" s="29"/>
      <c r="RHI39" s="29"/>
      <c r="RHU39" s="29"/>
      <c r="RIG39" s="29"/>
      <c r="RIS39" s="29"/>
      <c r="RJE39" s="29"/>
      <c r="RJQ39" s="29"/>
      <c r="RKC39" s="29"/>
      <c r="RKO39" s="29"/>
      <c r="RLA39" s="29"/>
      <c r="RLM39" s="29"/>
      <c r="RLY39" s="29"/>
      <c r="RMK39" s="29"/>
      <c r="RMW39" s="29"/>
      <c r="RNI39" s="29"/>
      <c r="RNU39" s="29"/>
      <c r="ROG39" s="29"/>
      <c r="ROS39" s="29"/>
      <c r="RPE39" s="29"/>
      <c r="RPQ39" s="29"/>
      <c r="RQC39" s="29"/>
      <c r="RQO39" s="29"/>
      <c r="RRA39" s="29"/>
      <c r="RRM39" s="29"/>
      <c r="RRY39" s="29"/>
      <c r="RSK39" s="29"/>
      <c r="RSW39" s="29"/>
      <c r="RTI39" s="29"/>
      <c r="RTU39" s="29"/>
      <c r="RUG39" s="29"/>
      <c r="RUS39" s="29"/>
      <c r="RVE39" s="29"/>
      <c r="RVQ39" s="29"/>
      <c r="RWC39" s="29"/>
      <c r="RWO39" s="29"/>
      <c r="RXA39" s="29"/>
      <c r="RXM39" s="29"/>
      <c r="RXY39" s="29"/>
      <c r="RYK39" s="29"/>
      <c r="RYW39" s="29"/>
      <c r="RZI39" s="29"/>
      <c r="RZU39" s="29"/>
      <c r="SAG39" s="29"/>
      <c r="SAS39" s="29"/>
      <c r="SBE39" s="29"/>
      <c r="SBQ39" s="29"/>
      <c r="SCC39" s="29"/>
      <c r="SCO39" s="29"/>
      <c r="SDA39" s="29"/>
      <c r="SDM39" s="29"/>
      <c r="SDY39" s="29"/>
      <c r="SEK39" s="29"/>
      <c r="SEW39" s="29"/>
      <c r="SFI39" s="29"/>
      <c r="SFU39" s="29"/>
      <c r="SGG39" s="29"/>
      <c r="SGS39" s="29"/>
      <c r="SHE39" s="29"/>
      <c r="SHQ39" s="29"/>
      <c r="SIC39" s="29"/>
      <c r="SIO39" s="29"/>
      <c r="SJA39" s="29"/>
      <c r="SJM39" s="29"/>
      <c r="SJY39" s="29"/>
      <c r="SKK39" s="29"/>
      <c r="SKW39" s="29"/>
      <c r="SLI39" s="29"/>
      <c r="SLU39" s="29"/>
      <c r="SMG39" s="29"/>
      <c r="SMS39" s="29"/>
      <c r="SNE39" s="29"/>
      <c r="SNQ39" s="29"/>
      <c r="SOC39" s="29"/>
      <c r="SOO39" s="29"/>
      <c r="SPA39" s="29"/>
      <c r="SPM39" s="29"/>
      <c r="SPY39" s="29"/>
      <c r="SQK39" s="29"/>
      <c r="SQW39" s="29"/>
      <c r="SRI39" s="29"/>
      <c r="SRU39" s="29"/>
      <c r="SSG39" s="29"/>
      <c r="SSS39" s="29"/>
      <c r="STE39" s="29"/>
      <c r="STQ39" s="29"/>
      <c r="SUC39" s="29"/>
      <c r="SUO39" s="29"/>
      <c r="SVA39" s="29"/>
      <c r="SVM39" s="29"/>
      <c r="SVY39" s="29"/>
      <c r="SWK39" s="29"/>
      <c r="SWW39" s="29"/>
      <c r="SXI39" s="29"/>
      <c r="SXU39" s="29"/>
      <c r="SYG39" s="29"/>
      <c r="SYS39" s="29"/>
      <c r="SZE39" s="29"/>
      <c r="SZQ39" s="29"/>
      <c r="TAC39" s="29"/>
      <c r="TAO39" s="29"/>
      <c r="TBA39" s="29"/>
      <c r="TBM39" s="29"/>
      <c r="TBY39" s="29"/>
      <c r="TCK39" s="29"/>
      <c r="TCW39" s="29"/>
      <c r="TDI39" s="29"/>
      <c r="TDU39" s="29"/>
      <c r="TEG39" s="29"/>
      <c r="TES39" s="29"/>
      <c r="TFE39" s="29"/>
      <c r="TFQ39" s="29"/>
      <c r="TGC39" s="29"/>
      <c r="TGO39" s="29"/>
      <c r="THA39" s="29"/>
      <c r="THM39" s="29"/>
      <c r="THY39" s="29"/>
      <c r="TIK39" s="29"/>
      <c r="TIW39" s="29"/>
      <c r="TJI39" s="29"/>
      <c r="TJU39" s="29"/>
      <c r="TKG39" s="29"/>
      <c r="TKS39" s="29"/>
      <c r="TLE39" s="29"/>
      <c r="TLQ39" s="29"/>
      <c r="TMC39" s="29"/>
      <c r="TMO39" s="29"/>
      <c r="TNA39" s="29"/>
      <c r="TNM39" s="29"/>
      <c r="TNY39" s="29"/>
      <c r="TOK39" s="29"/>
      <c r="TOW39" s="29"/>
      <c r="TPI39" s="29"/>
      <c r="TPU39" s="29"/>
      <c r="TQG39" s="29"/>
      <c r="TQS39" s="29"/>
      <c r="TRE39" s="29"/>
      <c r="TRQ39" s="29"/>
      <c r="TSC39" s="29"/>
      <c r="TSO39" s="29"/>
      <c r="TTA39" s="29"/>
      <c r="TTM39" s="29"/>
      <c r="TTY39" s="29"/>
      <c r="TUK39" s="29"/>
      <c r="TUW39" s="29"/>
      <c r="TVI39" s="29"/>
      <c r="TVU39" s="29"/>
      <c r="TWG39" s="29"/>
      <c r="TWS39" s="29"/>
      <c r="TXE39" s="29"/>
      <c r="TXQ39" s="29"/>
      <c r="TYC39" s="29"/>
      <c r="TYO39" s="29"/>
      <c r="TZA39" s="29"/>
      <c r="TZM39" s="29"/>
      <c r="TZY39" s="29"/>
      <c r="UAK39" s="29"/>
      <c r="UAW39" s="29"/>
      <c r="UBI39" s="29"/>
      <c r="UBU39" s="29"/>
      <c r="UCG39" s="29"/>
      <c r="UCS39" s="29"/>
      <c r="UDE39" s="29"/>
      <c r="UDQ39" s="29"/>
      <c r="UEC39" s="29"/>
      <c r="UEO39" s="29"/>
      <c r="UFA39" s="29"/>
      <c r="UFM39" s="29"/>
      <c r="UFY39" s="29"/>
      <c r="UGK39" s="29"/>
      <c r="UGW39" s="29"/>
      <c r="UHI39" s="29"/>
      <c r="UHU39" s="29"/>
      <c r="UIG39" s="29"/>
      <c r="UIS39" s="29"/>
      <c r="UJE39" s="29"/>
      <c r="UJQ39" s="29"/>
      <c r="UKC39" s="29"/>
      <c r="UKO39" s="29"/>
      <c r="ULA39" s="29"/>
      <c r="ULM39" s="29"/>
      <c r="ULY39" s="29"/>
      <c r="UMK39" s="29"/>
      <c r="UMW39" s="29"/>
      <c r="UNI39" s="29"/>
      <c r="UNU39" s="29"/>
      <c r="UOG39" s="29"/>
      <c r="UOS39" s="29"/>
      <c r="UPE39" s="29"/>
      <c r="UPQ39" s="29"/>
      <c r="UQC39" s="29"/>
      <c r="UQO39" s="29"/>
      <c r="URA39" s="29"/>
      <c r="URM39" s="29"/>
      <c r="URY39" s="29"/>
      <c r="USK39" s="29"/>
      <c r="USW39" s="29"/>
      <c r="UTI39" s="29"/>
      <c r="UTU39" s="29"/>
      <c r="UUG39" s="29"/>
      <c r="UUS39" s="29"/>
      <c r="UVE39" s="29"/>
      <c r="UVQ39" s="29"/>
      <c r="UWC39" s="29"/>
      <c r="UWO39" s="29"/>
      <c r="UXA39" s="29"/>
      <c r="UXM39" s="29"/>
      <c r="UXY39" s="29"/>
      <c r="UYK39" s="29"/>
      <c r="UYW39" s="29"/>
      <c r="UZI39" s="29"/>
      <c r="UZU39" s="29"/>
      <c r="VAG39" s="29"/>
      <c r="VAS39" s="29"/>
      <c r="VBE39" s="29"/>
      <c r="VBQ39" s="29"/>
      <c r="VCC39" s="29"/>
      <c r="VCO39" s="29"/>
      <c r="VDA39" s="29"/>
      <c r="VDM39" s="29"/>
      <c r="VDY39" s="29"/>
      <c r="VEK39" s="29"/>
      <c r="VEW39" s="29"/>
      <c r="VFI39" s="29"/>
      <c r="VFU39" s="29"/>
      <c r="VGG39" s="29"/>
      <c r="VGS39" s="29"/>
      <c r="VHE39" s="29"/>
      <c r="VHQ39" s="29"/>
      <c r="VIC39" s="29"/>
      <c r="VIO39" s="29"/>
      <c r="VJA39" s="29"/>
      <c r="VJM39" s="29"/>
      <c r="VJY39" s="29"/>
      <c r="VKK39" s="29"/>
      <c r="VKW39" s="29"/>
      <c r="VLI39" s="29"/>
      <c r="VLU39" s="29"/>
      <c r="VMG39" s="29"/>
      <c r="VMS39" s="29"/>
      <c r="VNE39" s="29"/>
      <c r="VNQ39" s="29"/>
      <c r="VOC39" s="29"/>
      <c r="VOO39" s="29"/>
      <c r="VPA39" s="29"/>
      <c r="VPM39" s="29"/>
      <c r="VPY39" s="29"/>
      <c r="VQK39" s="29"/>
      <c r="VQW39" s="29"/>
      <c r="VRI39" s="29"/>
      <c r="VRU39" s="29"/>
      <c r="VSG39" s="29"/>
      <c r="VSS39" s="29"/>
      <c r="VTE39" s="29"/>
      <c r="VTQ39" s="29"/>
      <c r="VUC39" s="29"/>
      <c r="VUO39" s="29"/>
      <c r="VVA39" s="29"/>
      <c r="VVM39" s="29"/>
      <c r="VVY39" s="29"/>
      <c r="VWK39" s="29"/>
      <c r="VWW39" s="29"/>
      <c r="VXI39" s="29"/>
      <c r="VXU39" s="29"/>
      <c r="VYG39" s="29"/>
      <c r="VYS39" s="29"/>
      <c r="VZE39" s="29"/>
      <c r="VZQ39" s="29"/>
      <c r="WAC39" s="29"/>
      <c r="WAO39" s="29"/>
      <c r="WBA39" s="29"/>
      <c r="WBM39" s="29"/>
      <c r="WBY39" s="29"/>
      <c r="WCK39" s="29"/>
      <c r="WCW39" s="29"/>
      <c r="WDI39" s="29"/>
      <c r="WDU39" s="29"/>
      <c r="WEG39" s="29"/>
      <c r="WES39" s="29"/>
      <c r="WFE39" s="29"/>
      <c r="WFQ39" s="29"/>
      <c r="WGC39" s="29"/>
      <c r="WGO39" s="29"/>
      <c r="WHA39" s="29"/>
      <c r="WHM39" s="29"/>
      <c r="WHY39" s="29"/>
      <c r="WIK39" s="29"/>
      <c r="WIW39" s="29"/>
      <c r="WJI39" s="29"/>
      <c r="WJU39" s="29"/>
      <c r="WKG39" s="29"/>
      <c r="WKS39" s="29"/>
      <c r="WLE39" s="29"/>
      <c r="WLQ39" s="29"/>
      <c r="WMC39" s="29"/>
      <c r="WMO39" s="29"/>
      <c r="WNA39" s="29"/>
      <c r="WNM39" s="29"/>
      <c r="WNY39" s="29"/>
      <c r="WOK39" s="29"/>
      <c r="WOW39" s="29"/>
      <c r="WPI39" s="29"/>
      <c r="WPU39" s="29"/>
      <c r="WQG39" s="29"/>
      <c r="WQS39" s="29"/>
      <c r="WRE39" s="29"/>
      <c r="WRQ39" s="29"/>
      <c r="WSC39" s="29"/>
      <c r="WSO39" s="29"/>
      <c r="WTA39" s="29"/>
      <c r="WTM39" s="29"/>
      <c r="WTY39" s="29"/>
      <c r="WUK39" s="29"/>
      <c r="WUW39" s="29"/>
      <c r="WVI39" s="29"/>
      <c r="WVU39" s="29"/>
      <c r="WWG39" s="29"/>
      <c r="WWS39" s="29"/>
      <c r="WXE39" s="29"/>
      <c r="WXQ39" s="29"/>
      <c r="WYC39" s="29"/>
      <c r="WYO39" s="29"/>
      <c r="WZA39" s="29"/>
      <c r="WZM39" s="29"/>
      <c r="WZY39" s="29"/>
      <c r="XAK39" s="29"/>
      <c r="XAW39" s="29"/>
      <c r="XBI39" s="29"/>
      <c r="XBU39" s="29"/>
      <c r="XCG39" s="29"/>
      <c r="XCS39" s="29"/>
      <c r="XDE39" s="29"/>
      <c r="XDQ39" s="29"/>
      <c r="XEC39" s="29"/>
      <c r="XEO39" s="29"/>
      <c r="XFA39" s="29"/>
    </row>
    <row r="40" spans="1:1021 1033:2041 2053:3061 3073:4093 4105:5113 5125:6133 6145:7165 7177:8185 8197:9205 9217:10237 10249:11257 11269:12277 12289:13309 13321:14329 14341:15349 15361:16381" outlineLevel="1" x14ac:dyDescent="0.2"/>
    <row r="41" spans="1:1021 1033:2041 2053:3061 3073:4093 4105:5113 5125:6133 6145:7165 7177:8185 8197:9205 9217:10237 10249:11257 11269:12277 12289:13309 13321:14329 14341:15349 15361:16381" outlineLevel="1" x14ac:dyDescent="0.2">
      <c r="B41" t="s">
        <v>78</v>
      </c>
      <c r="C41" s="15">
        <f>IFERROR('Data Sheet'!B31/'Historical FS'!C36,0)</f>
        <v>2.1666158071406771</v>
      </c>
      <c r="D41" s="15">
        <f>IFERROR('Data Sheet'!C31/'Historical FS'!D36,0)</f>
        <v>2.2628928898382665</v>
      </c>
      <c r="E41" s="15">
        <f>IFERROR('Data Sheet'!D31/'Historical FS'!E36,0)</f>
        <v>2.2628928898382665</v>
      </c>
      <c r="F41" s="15">
        <f>IFERROR('Data Sheet'!E31/'Historical FS'!F36,0)</f>
        <v>2.4073848031736342</v>
      </c>
      <c r="G41" s="15">
        <f>IFERROR('Data Sheet'!F31/'Historical FS'!G36,0)</f>
        <v>2.6001044932079416</v>
      </c>
      <c r="H41" s="15">
        <f>IFERROR('Data Sheet'!G31/'Historical FS'!H36,0)</f>
        <v>3.9002089864158829</v>
      </c>
      <c r="I41" s="15">
        <f>IFERROR('Data Sheet'!H31/'Historical FS'!I36,0)</f>
        <v>5.8262277951933124</v>
      </c>
      <c r="J41" s="15">
        <f>IFERROR('Data Sheet'!I31/'Historical FS'!J36,0)</f>
        <v>8.1372447392971914</v>
      </c>
      <c r="K41" s="15">
        <f>IFERROR('Data Sheet'!J31/'Historical FS'!K36,0)</f>
        <v>7.4625568468923689</v>
      </c>
      <c r="L41" s="15">
        <f>IFERROR('Data Sheet'!K31/'Historical FS'!L36,0)</f>
        <v>8.2500252652854975</v>
      </c>
      <c r="M41" s="15">
        <f>IFERROR('Data Sheet'!L31/'Historical FS'!M36,0)</f>
        <v>0</v>
      </c>
    </row>
    <row r="42" spans="1:1021 1033:2041 2053:3061 3073:4093 4105:5113 5125:6133 6145:7165 7177:8185 8197:9205 9217:10237 10249:11257 11269:12277 12289:13309 13321:14329 14341:15349 15361:16381" s="30" customFormat="1" outlineLevel="1" x14ac:dyDescent="0.2">
      <c r="B42" s="30" t="s">
        <v>80</v>
      </c>
      <c r="C42" s="30">
        <f>IFERROR(C41/C38,0)</f>
        <v>-2.0947042336627919</v>
      </c>
      <c r="D42" s="30">
        <f t="shared" ref="D42:M42" si="16">IFERROR(D41/D38,0)</f>
        <v>0.39522984676882156</v>
      </c>
      <c r="E42" s="30">
        <f t="shared" si="16"/>
        <v>0.30007688572353519</v>
      </c>
      <c r="F42" s="30">
        <f t="shared" si="16"/>
        <v>0.45081288036801093</v>
      </c>
      <c r="G42" s="30">
        <f t="shared" si="16"/>
        <v>0.35629089763599131</v>
      </c>
      <c r="H42" s="30">
        <f t="shared" si="16"/>
        <v>0.41331694461054536</v>
      </c>
      <c r="I42" s="30">
        <f t="shared" si="16"/>
        <v>0.56266209193198302</v>
      </c>
      <c r="J42" s="30">
        <f t="shared" si="16"/>
        <v>0.77097594751470899</v>
      </c>
      <c r="K42" s="30">
        <f t="shared" si="16"/>
        <v>0.53415412214900027</v>
      </c>
      <c r="L42" s="30">
        <f t="shared" si="16"/>
        <v>0.68475133579942471</v>
      </c>
      <c r="M42" s="30">
        <f t="shared" si="16"/>
        <v>0</v>
      </c>
    </row>
    <row r="43" spans="1:1021 1033:2041 2053:3061 3073:4093 4105:5113 5125:6133 6145:7165 7177:8185 8197:9205 9217:10237 10249:11257 11269:12277 12289:13309 13321:14329 14341:15349 15361:16381" outlineLevel="1" x14ac:dyDescent="0.2"/>
    <row r="44" spans="1:1021 1033:2041 2053:3061 3073:4093 4105:5113 5125:6133 6145:7165 7177:8185 8197:9205 9217:10237 10249:11257 11269:12277 12289:13309 13321:14329 14341:15349 15361:16381" outlineLevel="1" x14ac:dyDescent="0.2">
      <c r="B44" t="s">
        <v>81</v>
      </c>
      <c r="C44" s="16">
        <f>IFERROR(IF(C38&gt;C41,1-C42,0),0)</f>
        <v>0</v>
      </c>
      <c r="D44" s="16">
        <f t="shared" ref="D44:M44" si="17">IFERROR(IF(D38&gt;D41,1-D42,0),0)</f>
        <v>0.60477015323117844</v>
      </c>
      <c r="E44" s="16">
        <f t="shared" si="17"/>
        <v>0.69992311427646481</v>
      </c>
      <c r="F44" s="16">
        <f t="shared" si="17"/>
        <v>0.54918711963198907</v>
      </c>
      <c r="G44" s="16">
        <f t="shared" si="17"/>
        <v>0.64370910236400869</v>
      </c>
      <c r="H44" s="16">
        <f t="shared" si="17"/>
        <v>0.58668305538945464</v>
      </c>
      <c r="I44" s="16">
        <f t="shared" si="17"/>
        <v>0.43733790806801698</v>
      </c>
      <c r="J44" s="16">
        <f t="shared" si="17"/>
        <v>0.22902405248529101</v>
      </c>
      <c r="K44" s="16">
        <f t="shared" si="17"/>
        <v>0.46584587785099973</v>
      </c>
      <c r="L44" s="16">
        <f t="shared" si="17"/>
        <v>0.31524866420057529</v>
      </c>
      <c r="M44" s="16">
        <f t="shared" si="17"/>
        <v>1</v>
      </c>
    </row>
    <row r="45" spans="1:1021 1033:2041 2053:3061 3073:4093 4105:5113 5125:6133 6145:7165 7177:8185 8197:9205 9217:10237 10249:11257 11269:12277 12289:13309 13321:14329 14341:15349 15361:16381" outlineLevel="1" x14ac:dyDescent="0.2"/>
    <row r="46" spans="1:1021 1033:2041 2053:3061 3073:4093 4105:5113 5125:6133 6145:7165 7177:8185 8197:9205 9217:10237 10249:11257 11269:12277 12289:13309 13321:14329 14341:15349 15361:16381" x14ac:dyDescent="0.2">
      <c r="A46" s="28" t="s">
        <v>58</v>
      </c>
      <c r="B46" s="33" t="s">
        <v>32</v>
      </c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</row>
    <row r="47" spans="1:1021 1033:2041 2053:3061 3073:4093 4105:5113 5125:6133 6145:7165 7177:8185 8197:9205 9217:10237 10249:11257 11269:12277 12289:13309 13321:14329 14341:15349 15361:16381" outlineLevel="1" x14ac:dyDescent="0.2">
      <c r="B47" s="32" t="s">
        <v>11</v>
      </c>
    </row>
    <row r="48" spans="1:1021 1033:2041 2053:3061 3073:4093 4105:5113 5125:6133 6145:7165 7177:8185 8197:9205 9217:10237 10249:11257 11269:12277 12289:13309 13321:14329 14341:15349 15361:16381" outlineLevel="1" x14ac:dyDescent="0.2">
      <c r="B48" t="s">
        <v>33</v>
      </c>
      <c r="C48" s="15">
        <f>IFERROR('Data Sheet'!B57,0)</f>
        <v>63.11</v>
      </c>
      <c r="D48" s="15">
        <f>IFERROR('Data Sheet'!C57,0)</f>
        <v>63.11</v>
      </c>
      <c r="E48" s="15">
        <f>IFERROR('Data Sheet'!D57,0)</f>
        <v>63.11</v>
      </c>
      <c r="F48" s="15">
        <f>IFERROR('Data Sheet'!E57,0)</f>
        <v>63.11</v>
      </c>
      <c r="G48" s="15">
        <f>IFERROR('Data Sheet'!F57,0)</f>
        <v>92.16</v>
      </c>
      <c r="H48" s="15">
        <f>IFERROR('Data Sheet'!G57,0)</f>
        <v>92.16</v>
      </c>
      <c r="I48" s="15">
        <f>IFERROR('Data Sheet'!H57,0)</f>
        <v>92.16</v>
      </c>
      <c r="J48" s="15">
        <f>IFERROR('Data Sheet'!I57,0)</f>
        <v>92.9</v>
      </c>
      <c r="K48" s="15">
        <f>IFERROR('Data Sheet'!J57,0)</f>
        <v>95.28</v>
      </c>
      <c r="L48" s="15">
        <f>IFERROR('Data Sheet'!K57,0)</f>
        <v>98.95</v>
      </c>
      <c r="M48" s="15"/>
    </row>
    <row r="49" spans="1:13" outlineLevel="1" x14ac:dyDescent="0.2">
      <c r="B49" t="s">
        <v>34</v>
      </c>
      <c r="C49" s="15">
        <f>IFERROR('Data Sheet'!B58,0)</f>
        <v>6184.06</v>
      </c>
      <c r="D49" s="15">
        <f>IFERROR('Data Sheet'!C58,0)</f>
        <v>6202.39</v>
      </c>
      <c r="E49" s="15">
        <f>IFERROR('Data Sheet'!D58,0)</f>
        <v>6968.49</v>
      </c>
      <c r="F49" s="15">
        <f>IFERROR('Data Sheet'!E58,0)</f>
        <v>7268.58</v>
      </c>
      <c r="G49" s="15">
        <f>IFERROR('Data Sheet'!F58,0)</f>
        <v>13722.7</v>
      </c>
      <c r="H49" s="15">
        <f>IFERROR('Data Sheet'!G58,0)</f>
        <v>14442.35</v>
      </c>
      <c r="I49" s="15">
        <f>IFERROR('Data Sheet'!H58,0)</f>
        <v>15049.78</v>
      </c>
      <c r="J49" s="15">
        <f>IFERROR('Data Sheet'!I58,0)</f>
        <v>16183.81</v>
      </c>
      <c r="K49" s="15">
        <f>IFERROR('Data Sheet'!J58,0)</f>
        <v>15961.51</v>
      </c>
      <c r="L49" s="15">
        <f>IFERROR('Data Sheet'!K58,0)</f>
        <v>19902.13</v>
      </c>
      <c r="M49" s="15"/>
    </row>
    <row r="50" spans="1:13" outlineLevel="1" x14ac:dyDescent="0.2">
      <c r="B50" t="s">
        <v>35</v>
      </c>
      <c r="C50" s="15">
        <f>IFERROR('Data Sheet'!B59,0)</f>
        <v>1354.05</v>
      </c>
      <c r="D50" s="15">
        <f>IFERROR('Data Sheet'!C59,0)</f>
        <v>786.56</v>
      </c>
      <c r="E50" s="15">
        <f>IFERROR('Data Sheet'!D59,0)</f>
        <v>1067.58</v>
      </c>
      <c r="F50" s="15">
        <f>IFERROR('Data Sheet'!E59,0)</f>
        <v>1141.0999999999999</v>
      </c>
      <c r="G50" s="15">
        <f>IFERROR('Data Sheet'!F59,0)</f>
        <v>1586.32</v>
      </c>
      <c r="H50" s="15">
        <f>IFERROR('Data Sheet'!G59,0)</f>
        <v>1633.55</v>
      </c>
      <c r="I50" s="15">
        <f>IFERROR('Data Sheet'!H59,0)</f>
        <v>1412.01</v>
      </c>
      <c r="J50" s="15">
        <f>IFERROR('Data Sheet'!I59,0)</f>
        <v>1600.04</v>
      </c>
      <c r="K50" s="15">
        <f>IFERROR('Data Sheet'!J59,0)</f>
        <v>3477.22</v>
      </c>
      <c r="L50" s="15">
        <f>IFERROR('Data Sheet'!K59,0)</f>
        <v>2392.6799999999998</v>
      </c>
      <c r="M50" s="15"/>
    </row>
    <row r="51" spans="1:13" outlineLevel="1" x14ac:dyDescent="0.2">
      <c r="B51" t="s">
        <v>36</v>
      </c>
      <c r="C51" s="15">
        <f>IFERROR('Data Sheet'!B60,0)</f>
        <v>2293.54</v>
      </c>
      <c r="D51" s="15">
        <f>IFERROR('Data Sheet'!C60,0)</f>
        <v>2499.35</v>
      </c>
      <c r="E51" s="15">
        <f>IFERROR('Data Sheet'!D60,0)</f>
        <v>2361.58</v>
      </c>
      <c r="F51" s="15">
        <f>IFERROR('Data Sheet'!E60,0)</f>
        <v>2407.89</v>
      </c>
      <c r="G51" s="15">
        <f>IFERROR('Data Sheet'!F60,0)</f>
        <v>3071.86</v>
      </c>
      <c r="H51" s="15">
        <f>IFERROR('Data Sheet'!G60,0)</f>
        <v>4049.76</v>
      </c>
      <c r="I51" s="15">
        <f>IFERROR('Data Sheet'!H60,0)</f>
        <v>4520.92</v>
      </c>
      <c r="J51" s="15">
        <f>IFERROR('Data Sheet'!I60,0)</f>
        <v>4885.74</v>
      </c>
      <c r="K51" s="15">
        <f>IFERROR('Data Sheet'!J60,0)</f>
        <v>8344.7800000000007</v>
      </c>
      <c r="L51" s="15">
        <f>IFERROR('Data Sheet'!K60,0)</f>
        <v>9436.86</v>
      </c>
      <c r="M51" s="15"/>
    </row>
    <row r="52" spans="1:13" outlineLevel="1" x14ac:dyDescent="0.2">
      <c r="A52" s="37"/>
      <c r="B52" s="39" t="s">
        <v>82</v>
      </c>
      <c r="C52" s="41">
        <f>IFERROR('Data Sheet'!B61,0)</f>
        <v>9894.76</v>
      </c>
      <c r="D52" s="41">
        <f>IFERROR('Data Sheet'!C61,0)</f>
        <v>9551.41</v>
      </c>
      <c r="E52" s="41">
        <f>IFERROR('Data Sheet'!D61,0)</f>
        <v>10460.76</v>
      </c>
      <c r="F52" s="41">
        <f>IFERROR('Data Sheet'!E61,0)</f>
        <v>10880.68</v>
      </c>
      <c r="G52" s="41">
        <f>IFERROR('Data Sheet'!F61,0)</f>
        <v>18473.04</v>
      </c>
      <c r="H52" s="41">
        <f>IFERROR('Data Sheet'!G61,0)</f>
        <v>20217.82</v>
      </c>
      <c r="I52" s="41">
        <f>IFERROR('Data Sheet'!H61,0)</f>
        <v>21074.87</v>
      </c>
      <c r="J52" s="41">
        <f>IFERROR('Data Sheet'!I61,0)</f>
        <v>22762.49</v>
      </c>
      <c r="K52" s="41">
        <f>IFERROR('Data Sheet'!J61,0)</f>
        <v>27878.79</v>
      </c>
      <c r="L52" s="41">
        <f>IFERROR('Data Sheet'!K61,0)</f>
        <v>31830.62</v>
      </c>
      <c r="M52" s="34"/>
    </row>
    <row r="53" spans="1:13" outlineLevel="1" x14ac:dyDescent="0.2">
      <c r="B53" s="9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outlineLevel="1" x14ac:dyDescent="0.2">
      <c r="B54" t="s">
        <v>83</v>
      </c>
      <c r="C54" s="15">
        <f>IFERROR('Data Sheet'!B62,0)</f>
        <v>4661.8</v>
      </c>
      <c r="D54" s="15">
        <f>IFERROR('Data Sheet'!C62,0)</f>
        <v>4572.59</v>
      </c>
      <c r="E54" s="15">
        <f>IFERROR('Data Sheet'!D62,0)</f>
        <v>4798.18</v>
      </c>
      <c r="F54" s="15">
        <f>IFERROR('Data Sheet'!E62,0)</f>
        <v>4913.3100000000004</v>
      </c>
      <c r="G54" s="15">
        <f>IFERROR('Data Sheet'!F62,0)</f>
        <v>11656.04</v>
      </c>
      <c r="H54" s="15">
        <f>IFERROR('Data Sheet'!G62,0)</f>
        <v>12023.13</v>
      </c>
      <c r="I54" s="15">
        <f>IFERROR('Data Sheet'!H62,0)</f>
        <v>12599.35</v>
      </c>
      <c r="J54" s="15">
        <f>IFERROR('Data Sheet'!I62,0)</f>
        <v>13070.04</v>
      </c>
      <c r="K54" s="15">
        <f>IFERROR('Data Sheet'!J62,0)</f>
        <v>19357.900000000001</v>
      </c>
      <c r="L54" s="15">
        <f>IFERROR('Data Sheet'!K62,0)</f>
        <v>21476.84</v>
      </c>
      <c r="M54" s="15"/>
    </row>
    <row r="55" spans="1:13" outlineLevel="1" x14ac:dyDescent="0.2">
      <c r="B55" t="s">
        <v>39</v>
      </c>
      <c r="C55" s="15">
        <f>IFERROR('Data Sheet'!B63,0)</f>
        <v>39.42</v>
      </c>
      <c r="D55" s="15">
        <f>IFERROR('Data Sheet'!C63,0)</f>
        <v>63.19</v>
      </c>
      <c r="E55" s="15">
        <f>IFERROR('Data Sheet'!D63,0)</f>
        <v>135.16</v>
      </c>
      <c r="F55" s="15">
        <f>IFERROR('Data Sheet'!E63,0)</f>
        <v>424.41</v>
      </c>
      <c r="G55" s="15">
        <f>IFERROR('Data Sheet'!F63,0)</f>
        <v>95.35</v>
      </c>
      <c r="H55" s="15">
        <f>IFERROR('Data Sheet'!G63,0)</f>
        <v>112.85</v>
      </c>
      <c r="I55" s="15">
        <f>IFERROR('Data Sheet'!H63,0)</f>
        <v>246.97</v>
      </c>
      <c r="J55" s="15">
        <f>IFERROR('Data Sheet'!I63,0)</f>
        <v>294.89999999999998</v>
      </c>
      <c r="K55" s="15">
        <f>IFERROR('Data Sheet'!J63,0)</f>
        <v>189.6</v>
      </c>
      <c r="L55" s="15">
        <f>IFERROR('Data Sheet'!K63,0)</f>
        <v>218.1</v>
      </c>
      <c r="M55" s="15"/>
    </row>
    <row r="56" spans="1:13" outlineLevel="1" x14ac:dyDescent="0.2">
      <c r="B56" t="s">
        <v>40</v>
      </c>
      <c r="C56" s="15">
        <f>IFERROR('Data Sheet'!B64,0)</f>
        <v>1365.94</v>
      </c>
      <c r="D56" s="15">
        <f>IFERROR('Data Sheet'!C64,0)</f>
        <v>1451.04</v>
      </c>
      <c r="E56" s="15">
        <f>IFERROR('Data Sheet'!D64,0)</f>
        <v>1161.33</v>
      </c>
      <c r="F56" s="15">
        <f>IFERROR('Data Sheet'!E64,0)</f>
        <v>1187.6600000000001</v>
      </c>
      <c r="G56" s="15">
        <f>IFERROR('Data Sheet'!F64,0)</f>
        <v>1322.85</v>
      </c>
      <c r="H56" s="15">
        <f>IFERROR('Data Sheet'!G64,0)</f>
        <v>805.89</v>
      </c>
      <c r="I56" s="15">
        <f>IFERROR('Data Sheet'!H64,0)</f>
        <v>797.28</v>
      </c>
      <c r="J56" s="15">
        <f>IFERROR('Data Sheet'!I64,0)</f>
        <v>1432.97</v>
      </c>
      <c r="K56" s="15">
        <f>IFERROR('Data Sheet'!J64,0)</f>
        <v>870.55</v>
      </c>
      <c r="L56" s="15">
        <f>IFERROR('Data Sheet'!K64,0)</f>
        <v>968.67</v>
      </c>
      <c r="M56" s="15"/>
    </row>
    <row r="57" spans="1:13" outlineLevel="1" x14ac:dyDescent="0.2">
      <c r="B57" t="s">
        <v>41</v>
      </c>
      <c r="C57" s="15">
        <f>IFERROR('Data Sheet'!B65-SUM('Data Sheet'!B67:B69),0)</f>
        <v>1105.1299999999997</v>
      </c>
      <c r="D57" s="15">
        <f>IFERROR('Data Sheet'!C65-SUM('Data Sheet'!C67:C69),0)</f>
        <v>844.36000000000013</v>
      </c>
      <c r="E57" s="15">
        <f>IFERROR('Data Sheet'!D65-SUM('Data Sheet'!D67:D69),0)</f>
        <v>1031.3599999999997</v>
      </c>
      <c r="F57" s="15">
        <f>IFERROR('Data Sheet'!E65-SUM('Data Sheet'!E67:E69),0)</f>
        <v>1032.6000000000004</v>
      </c>
      <c r="G57" s="15">
        <f>IFERROR('Data Sheet'!F65-SUM('Data Sheet'!F67:F69),0)</f>
        <v>1142.9000000000005</v>
      </c>
      <c r="H57" s="15">
        <f>IFERROR('Data Sheet'!G65-SUM('Data Sheet'!G67:G69),0)</f>
        <v>1190.5899999999992</v>
      </c>
      <c r="I57" s="15">
        <f>IFERROR('Data Sheet'!H65-SUM('Data Sheet'!H67:H69),0)</f>
        <v>1729.7200000000003</v>
      </c>
      <c r="J57" s="15">
        <f>IFERROR('Data Sheet'!I65-SUM('Data Sheet'!I67:I69),0)</f>
        <v>1667.6399999999994</v>
      </c>
      <c r="K57" s="15">
        <f>IFERROR('Data Sheet'!J65-SUM('Data Sheet'!J67:J69),0)</f>
        <v>1340.1499999999996</v>
      </c>
      <c r="L57" s="15">
        <f>IFERROR('Data Sheet'!K65-SUM('Data Sheet'!K67:K69),0)</f>
        <v>1879.4500000000007</v>
      </c>
      <c r="M57" s="15"/>
    </row>
    <row r="58" spans="1:13" outlineLevel="1" x14ac:dyDescent="0.2">
      <c r="A58" s="37"/>
      <c r="B58" s="39" t="s">
        <v>84</v>
      </c>
      <c r="C58" s="41">
        <f>IFERROR(SUM(C54:C57),0)</f>
        <v>7172.2899999999991</v>
      </c>
      <c r="D58" s="41">
        <f t="shared" ref="D58:L58" si="18">IFERROR(SUM(D54:D57),0)</f>
        <v>6931.18</v>
      </c>
      <c r="E58" s="41">
        <f t="shared" si="18"/>
        <v>7126.03</v>
      </c>
      <c r="F58" s="41">
        <f t="shared" si="18"/>
        <v>7557.9800000000005</v>
      </c>
      <c r="G58" s="41">
        <f t="shared" si="18"/>
        <v>14217.140000000003</v>
      </c>
      <c r="H58" s="41">
        <f t="shared" si="18"/>
        <v>14132.46</v>
      </c>
      <c r="I58" s="41">
        <f t="shared" si="18"/>
        <v>15373.32</v>
      </c>
      <c r="J58" s="41">
        <f t="shared" si="18"/>
        <v>16465.55</v>
      </c>
      <c r="K58" s="41">
        <f t="shared" si="18"/>
        <v>21758.199999999997</v>
      </c>
      <c r="L58" s="41">
        <f t="shared" si="18"/>
        <v>24543.059999999998</v>
      </c>
      <c r="M58" s="34"/>
    </row>
    <row r="59" spans="1:13" outlineLevel="1" x14ac:dyDescent="0.2">
      <c r="B59" s="9"/>
    </row>
    <row r="60" spans="1:13" outlineLevel="1" x14ac:dyDescent="0.2">
      <c r="B60" t="s">
        <v>42</v>
      </c>
      <c r="C60" s="15">
        <f>IFERROR('Data Sheet'!B67,0)</f>
        <v>592.42999999999995</v>
      </c>
      <c r="D60" s="15">
        <f>IFERROR('Data Sheet'!C67,0)</f>
        <v>592.45000000000005</v>
      </c>
      <c r="E60" s="15">
        <f>IFERROR('Data Sheet'!D67,0)</f>
        <v>648.28</v>
      </c>
      <c r="F60" s="15">
        <f>IFERROR('Data Sheet'!E67,0)</f>
        <v>680.55</v>
      </c>
      <c r="G60" s="15">
        <f>IFERROR('Data Sheet'!F67,0)</f>
        <v>922.41</v>
      </c>
      <c r="H60" s="15">
        <f>IFERROR('Data Sheet'!G67,0)</f>
        <v>761.32</v>
      </c>
      <c r="I60" s="15">
        <f>IFERROR('Data Sheet'!H67,0)</f>
        <v>835.15</v>
      </c>
      <c r="J60" s="15">
        <f>IFERROR('Data Sheet'!I67,0)</f>
        <v>798.33</v>
      </c>
      <c r="K60" s="15">
        <f>IFERROR('Data Sheet'!J67,0)</f>
        <v>896.75</v>
      </c>
      <c r="L60" s="15">
        <f>IFERROR('Data Sheet'!K67,0)</f>
        <v>869.79</v>
      </c>
      <c r="M60" s="15"/>
    </row>
    <row r="61" spans="1:13" outlineLevel="1" x14ac:dyDescent="0.2">
      <c r="B61" t="s">
        <v>43</v>
      </c>
      <c r="C61" s="15">
        <f>IFERROR('Data Sheet'!B68,0)</f>
        <v>1629.01</v>
      </c>
      <c r="D61" s="15">
        <f>IFERROR('Data Sheet'!C68,0)</f>
        <v>1452.96</v>
      </c>
      <c r="E61" s="15">
        <f>IFERROR('Data Sheet'!D68,0)</f>
        <v>1448.31</v>
      </c>
      <c r="F61" s="15">
        <f>IFERROR('Data Sheet'!E68,0)</f>
        <v>1608.54</v>
      </c>
      <c r="G61" s="15">
        <f>IFERROR('Data Sheet'!F68,0)</f>
        <v>1712.03</v>
      </c>
      <c r="H61" s="15">
        <f>IFERROR('Data Sheet'!G68,0)</f>
        <v>2249.16</v>
      </c>
      <c r="I61" s="15">
        <f>IFERROR('Data Sheet'!H68,0)</f>
        <v>2266.5100000000002</v>
      </c>
      <c r="J61" s="15">
        <f>IFERROR('Data Sheet'!I68,0)</f>
        <v>2701.67</v>
      </c>
      <c r="K61" s="15">
        <f>IFERROR('Data Sheet'!J68,0)</f>
        <v>2769.35</v>
      </c>
      <c r="L61" s="15">
        <f>IFERROR('Data Sheet'!K68,0)</f>
        <v>3599.91</v>
      </c>
      <c r="M61" s="15"/>
    </row>
    <row r="62" spans="1:13" outlineLevel="1" x14ac:dyDescent="0.2">
      <c r="B62" t="s">
        <v>44</v>
      </c>
      <c r="C62" s="15">
        <f>IFERROR('Data Sheet'!B69,0)</f>
        <v>501.03</v>
      </c>
      <c r="D62" s="15">
        <f>IFERROR('Data Sheet'!C69,0)</f>
        <v>574.82000000000005</v>
      </c>
      <c r="E62" s="15">
        <f>IFERROR('Data Sheet'!D69,0)</f>
        <v>1238.1400000000001</v>
      </c>
      <c r="F62" s="15">
        <f>IFERROR('Data Sheet'!E69,0)</f>
        <v>1033.6099999999999</v>
      </c>
      <c r="G62" s="15">
        <f>IFERROR('Data Sheet'!F69,0)</f>
        <v>1621.46</v>
      </c>
      <c r="H62" s="15">
        <f>IFERROR('Data Sheet'!G69,0)</f>
        <v>3074.88</v>
      </c>
      <c r="I62" s="15">
        <f>IFERROR('Data Sheet'!H69,0)</f>
        <v>2599.89</v>
      </c>
      <c r="J62" s="15">
        <f>IFERROR('Data Sheet'!I69,0)</f>
        <v>2796.94</v>
      </c>
      <c r="K62" s="15">
        <f>IFERROR('Data Sheet'!J69,0)</f>
        <v>2454.4899999999998</v>
      </c>
      <c r="L62" s="15">
        <f>IFERROR('Data Sheet'!K69,0)</f>
        <v>2817.86</v>
      </c>
      <c r="M62" s="15"/>
    </row>
    <row r="63" spans="1:13" outlineLevel="1" x14ac:dyDescent="0.2">
      <c r="A63" s="37"/>
      <c r="B63" s="39" t="s">
        <v>85</v>
      </c>
      <c r="C63" s="41">
        <f>SUM(C60:C62)</f>
        <v>2722.4700000000003</v>
      </c>
      <c r="D63" s="41">
        <f t="shared" ref="D63:L63" si="19">SUM(D60:D62)</f>
        <v>2620.23</v>
      </c>
      <c r="E63" s="41">
        <f t="shared" si="19"/>
        <v>3334.7300000000005</v>
      </c>
      <c r="F63" s="41">
        <f t="shared" si="19"/>
        <v>3322.7</v>
      </c>
      <c r="G63" s="41">
        <f t="shared" si="19"/>
        <v>4255.8999999999996</v>
      </c>
      <c r="H63" s="41">
        <f t="shared" si="19"/>
        <v>6085.3600000000006</v>
      </c>
      <c r="I63" s="41">
        <f t="shared" si="19"/>
        <v>5701.55</v>
      </c>
      <c r="J63" s="41">
        <f t="shared" si="19"/>
        <v>6296.9400000000005</v>
      </c>
      <c r="K63" s="41">
        <f t="shared" si="19"/>
        <v>6120.59</v>
      </c>
      <c r="L63" s="41">
        <f t="shared" si="19"/>
        <v>7287.5599999999995</v>
      </c>
      <c r="M63" s="15"/>
    </row>
    <row r="64" spans="1:13" outlineLevel="1" x14ac:dyDescent="0.2"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spans="1:13" outlineLevel="1" x14ac:dyDescent="0.2">
      <c r="A65" s="37"/>
      <c r="B65" s="39" t="s">
        <v>86</v>
      </c>
      <c r="C65" s="41">
        <f>IFERROR(SUM(C58+C63),0)</f>
        <v>9894.7599999999984</v>
      </c>
      <c r="D65" s="41">
        <f t="shared" ref="D65:L65" si="20">IFERROR(SUM(D58+D63),0)</f>
        <v>9551.41</v>
      </c>
      <c r="E65" s="41">
        <f t="shared" si="20"/>
        <v>10460.76</v>
      </c>
      <c r="F65" s="41">
        <f t="shared" si="20"/>
        <v>10880.68</v>
      </c>
      <c r="G65" s="41">
        <f t="shared" si="20"/>
        <v>18473.04</v>
      </c>
      <c r="H65" s="41">
        <f t="shared" si="20"/>
        <v>20217.82</v>
      </c>
      <c r="I65" s="41">
        <f t="shared" si="20"/>
        <v>21074.87</v>
      </c>
      <c r="J65" s="41">
        <f t="shared" si="20"/>
        <v>22762.489999999998</v>
      </c>
      <c r="K65" s="41">
        <f t="shared" si="20"/>
        <v>27878.789999999997</v>
      </c>
      <c r="L65" s="41">
        <f t="shared" si="20"/>
        <v>31830.619999999995</v>
      </c>
      <c r="M65" s="15"/>
    </row>
    <row r="66" spans="1:13" outlineLevel="1" x14ac:dyDescent="0.2"/>
    <row r="67" spans="1:13" outlineLevel="1" x14ac:dyDescent="0.2">
      <c r="B67" s="17" t="s">
        <v>87</v>
      </c>
      <c r="C67" s="17" t="b">
        <f>C65=C52</f>
        <v>1</v>
      </c>
      <c r="D67" s="17" t="b">
        <f t="shared" ref="D67:L67" si="21">D65=D52</f>
        <v>1</v>
      </c>
      <c r="E67" s="17" t="b">
        <f t="shared" si="21"/>
        <v>1</v>
      </c>
      <c r="F67" s="17" t="b">
        <f t="shared" si="21"/>
        <v>1</v>
      </c>
      <c r="G67" s="17" t="b">
        <f t="shared" si="21"/>
        <v>1</v>
      </c>
      <c r="H67" s="17" t="b">
        <f t="shared" si="21"/>
        <v>1</v>
      </c>
      <c r="I67" s="17" t="b">
        <f t="shared" si="21"/>
        <v>1</v>
      </c>
      <c r="J67" s="17" t="b">
        <f t="shared" si="21"/>
        <v>1</v>
      </c>
      <c r="K67" s="17" t="b">
        <f t="shared" si="21"/>
        <v>1</v>
      </c>
      <c r="L67" s="17" t="b">
        <f t="shared" si="21"/>
        <v>1</v>
      </c>
    </row>
    <row r="69" spans="1:13" x14ac:dyDescent="0.2">
      <c r="A69" s="28" t="s">
        <v>58</v>
      </c>
      <c r="B69" s="33" t="s">
        <v>118</v>
      </c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</row>
    <row r="70" spans="1:13" outlineLevel="1" x14ac:dyDescent="0.2">
      <c r="B70" s="9" t="s">
        <v>120</v>
      </c>
    </row>
    <row r="71" spans="1:13" outlineLevel="1" x14ac:dyDescent="0.2">
      <c r="B71" t="s">
        <v>89</v>
      </c>
      <c r="C71" s="15">
        <f>IFERROR('Cash Flow Data'!E4,0)</f>
        <v>24406.6</v>
      </c>
      <c r="D71" s="15">
        <f>IFERROR('Cash Flow Data'!F4,0)</f>
        <v>36303.199999999997</v>
      </c>
      <c r="E71" s="15">
        <f>IFERROR('Cash Flow Data'!G4,0)</f>
        <v>43396.3</v>
      </c>
      <c r="F71" s="15">
        <f>IFERROR('Cash Flow Data'!H4,0)</f>
        <v>38626.5</v>
      </c>
      <c r="G71" s="15">
        <f>IFERROR('Cash Flow Data'!I4,0)</f>
        <v>28839.3</v>
      </c>
      <c r="H71" s="15">
        <f>IFERROR('Cash Flow Data'!J4,0)</f>
        <v>33312.400000000001</v>
      </c>
      <c r="I71" s="15">
        <f>IFERROR('Cash Flow Data'!K4,0)</f>
        <v>28769.8</v>
      </c>
      <c r="J71" s="15">
        <f>IFERROR('Cash Flow Data'!L4,0)</f>
        <v>23351.9</v>
      </c>
      <c r="K71" s="15">
        <f>IFERROR('Cash Flow Data'!M4,0)</f>
        <v>31198.5</v>
      </c>
      <c r="L71" s="15">
        <f>IFERROR('Cash Flow Data'!N4,0)</f>
        <v>26666.799999999999</v>
      </c>
      <c r="M71" s="15"/>
    </row>
    <row r="72" spans="1:13" outlineLevel="1" x14ac:dyDescent="0.2">
      <c r="B72" t="s">
        <v>42</v>
      </c>
      <c r="C72" s="15">
        <f>IFERROR('Cash Flow Data'!E5,0)</f>
        <v>-5177</v>
      </c>
      <c r="D72" s="15">
        <f>IFERROR('Cash Flow Data'!F5,0)</f>
        <v>445</v>
      </c>
      <c r="E72" s="15">
        <f>IFERROR('Cash Flow Data'!G5,0)</f>
        <v>-3179</v>
      </c>
      <c r="F72" s="15">
        <f>IFERROR('Cash Flow Data'!H5,0)</f>
        <v>-2223</v>
      </c>
      <c r="G72" s="15">
        <f>IFERROR('Cash Flow Data'!I5,0)</f>
        <v>-4152</v>
      </c>
      <c r="H72" s="15">
        <f>IFERROR('Cash Flow Data'!J5,0)</f>
        <v>-10688</v>
      </c>
      <c r="I72" s="15">
        <f>IFERROR('Cash Flow Data'!K5,0)</f>
        <v>-9109</v>
      </c>
      <c r="J72" s="15">
        <f>IFERROR('Cash Flow Data'!L5,0)</f>
        <v>9950</v>
      </c>
      <c r="K72" s="15">
        <f>IFERROR('Cash Flow Data'!M5,0)</f>
        <v>-5505</v>
      </c>
      <c r="L72" s="15">
        <f>IFERROR('Cash Flow Data'!N5,0)</f>
        <v>337</v>
      </c>
      <c r="M72" s="15"/>
    </row>
    <row r="73" spans="1:13" outlineLevel="1" x14ac:dyDescent="0.2">
      <c r="B73" t="s">
        <v>43</v>
      </c>
      <c r="C73" s="15">
        <f>IFERROR('Cash Flow Data'!E6,0)</f>
        <v>-2656</v>
      </c>
      <c r="D73" s="15">
        <f>IFERROR('Cash Flow Data'!F6,0)</f>
        <v>-2853</v>
      </c>
      <c r="E73" s="15">
        <f>IFERROR('Cash Flow Data'!G6,0)</f>
        <v>-3692</v>
      </c>
      <c r="F73" s="15">
        <f>IFERROR('Cash Flow Data'!H6,0)</f>
        <v>-5743</v>
      </c>
      <c r="G73" s="15">
        <f>IFERROR('Cash Flow Data'!I6,0)</f>
        <v>-6621</v>
      </c>
      <c r="H73" s="15">
        <f>IFERROR('Cash Flow Data'!J6,0)</f>
        <v>-3560</v>
      </c>
      <c r="I73" s="15">
        <f>IFERROR('Cash Flow Data'!K6,0)</f>
        <v>2069</v>
      </c>
      <c r="J73" s="15">
        <f>IFERROR('Cash Flow Data'!L6,0)</f>
        <v>2326</v>
      </c>
      <c r="K73" s="15">
        <f>IFERROR('Cash Flow Data'!M6,0)</f>
        <v>3814</v>
      </c>
      <c r="L73" s="15">
        <f>IFERROR('Cash Flow Data'!N6,0)</f>
        <v>597</v>
      </c>
      <c r="M73" s="15"/>
    </row>
    <row r="74" spans="1:13" outlineLevel="1" x14ac:dyDescent="0.2">
      <c r="B74" t="s">
        <v>90</v>
      </c>
      <c r="C74" s="15">
        <f>IFERROR('Cash Flow Data'!E7,0)</f>
        <v>8132</v>
      </c>
      <c r="D74" s="15">
        <f>IFERROR('Cash Flow Data'!F7,0)</f>
        <v>4694</v>
      </c>
      <c r="E74" s="15">
        <f>IFERROR('Cash Flow Data'!G7,0)</f>
        <v>3598</v>
      </c>
      <c r="F74" s="15">
        <f>IFERROR('Cash Flow Data'!H7,0)</f>
        <v>3947</v>
      </c>
      <c r="G74" s="15">
        <f>IFERROR('Cash Flow Data'!I7,0)</f>
        <v>9301</v>
      </c>
      <c r="H74" s="15">
        <f>IFERROR('Cash Flow Data'!J7,0)</f>
        <v>7320</v>
      </c>
      <c r="I74" s="15">
        <f>IFERROR('Cash Flow Data'!K7,0)</f>
        <v>-4692</v>
      </c>
      <c r="J74" s="15">
        <f>IFERROR('Cash Flow Data'!L7,0)</f>
        <v>-8085</v>
      </c>
      <c r="K74" s="15">
        <f>IFERROR('Cash Flow Data'!M7,0)</f>
        <v>5748</v>
      </c>
      <c r="L74" s="15">
        <f>IFERROR('Cash Flow Data'!N7,0)</f>
        <v>-7012</v>
      </c>
      <c r="M74" s="15"/>
    </row>
    <row r="75" spans="1:13" outlineLevel="1" x14ac:dyDescent="0.2">
      <c r="B75" t="s">
        <v>91</v>
      </c>
      <c r="C75" s="15">
        <f>IFERROR('Cash Flow Data'!E8,0)</f>
        <v>0</v>
      </c>
      <c r="D75" s="15">
        <f>IFERROR('Cash Flow Data'!F8,0)</f>
        <v>0</v>
      </c>
      <c r="E75" s="15">
        <f>IFERROR('Cash Flow Data'!G8,0)</f>
        <v>0</v>
      </c>
      <c r="F75" s="15">
        <f>IFERROR('Cash Flow Data'!H8,0)</f>
        <v>-520</v>
      </c>
      <c r="G75" s="15">
        <f>IFERROR('Cash Flow Data'!I8,0)</f>
        <v>0</v>
      </c>
      <c r="H75" s="15">
        <f>IFERROR('Cash Flow Data'!J8,0)</f>
        <v>0</v>
      </c>
      <c r="I75" s="15">
        <f>IFERROR('Cash Flow Data'!K8,0)</f>
        <v>0</v>
      </c>
      <c r="J75" s="15">
        <f>IFERROR('Cash Flow Data'!L8,0)</f>
        <v>0</v>
      </c>
      <c r="K75" s="15">
        <f>IFERROR('Cash Flow Data'!M8,0)</f>
        <v>0</v>
      </c>
      <c r="L75" s="15">
        <f>IFERROR('Cash Flow Data'!N8,0)</f>
        <v>0</v>
      </c>
      <c r="M75" s="15"/>
    </row>
    <row r="76" spans="1:13" outlineLevel="1" x14ac:dyDescent="0.2">
      <c r="B76" t="s">
        <v>92</v>
      </c>
      <c r="C76" s="15">
        <f>IFERROR('Cash Flow Data'!E9,0)</f>
        <v>-303</v>
      </c>
      <c r="D76" s="15">
        <f>IFERROR('Cash Flow Data'!F9,0)</f>
        <v>1870</v>
      </c>
      <c r="E76" s="15">
        <f>IFERROR('Cash Flow Data'!G9,0)</f>
        <v>-398</v>
      </c>
      <c r="F76" s="15">
        <f>IFERROR('Cash Flow Data'!H9,0)</f>
        <v>5852</v>
      </c>
      <c r="G76" s="15">
        <f>IFERROR('Cash Flow Data'!I9,0)</f>
        <v>4727</v>
      </c>
      <c r="H76" s="15">
        <f>IFERROR('Cash Flow Data'!J9,0)</f>
        <v>494</v>
      </c>
      <c r="I76" s="15">
        <f>IFERROR('Cash Flow Data'!K9,0)</f>
        <v>4512</v>
      </c>
      <c r="J76" s="15">
        <f>IFERROR('Cash Flow Data'!L9,0)</f>
        <v>875</v>
      </c>
      <c r="K76" s="15">
        <f>IFERROR('Cash Flow Data'!M9,0)</f>
        <v>-4150</v>
      </c>
      <c r="L76" s="15">
        <f>IFERROR('Cash Flow Data'!N9,0)</f>
        <v>-4396</v>
      </c>
      <c r="M76" s="15"/>
    </row>
    <row r="77" spans="1:13" outlineLevel="1" x14ac:dyDescent="0.2">
      <c r="B77" t="s">
        <v>94</v>
      </c>
      <c r="C77" s="15">
        <f>IFERROR('Cash Flow Data'!E11,0)</f>
        <v>-2240</v>
      </c>
      <c r="D77" s="15">
        <f>IFERROR('Cash Flow Data'!F11,0)</f>
        <v>-4308</v>
      </c>
      <c r="E77" s="15">
        <f>IFERROR('Cash Flow Data'!G11,0)</f>
        <v>-4194</v>
      </c>
      <c r="F77" s="15">
        <f>IFERROR('Cash Flow Data'!H11,0)</f>
        <v>-2040</v>
      </c>
      <c r="G77" s="15">
        <f>IFERROR('Cash Flow Data'!I11,0)</f>
        <v>-1895</v>
      </c>
      <c r="H77" s="15">
        <f>IFERROR('Cash Flow Data'!J11,0)</f>
        <v>-3021</v>
      </c>
      <c r="I77" s="15">
        <f>IFERROR('Cash Flow Data'!K11,0)</f>
        <v>-2659</v>
      </c>
      <c r="J77" s="15">
        <f>IFERROR('Cash Flow Data'!L11,0)</f>
        <v>-1785</v>
      </c>
      <c r="K77" s="15">
        <f>IFERROR('Cash Flow Data'!M11,0)</f>
        <v>-2105</v>
      </c>
      <c r="L77" s="15">
        <f>IFERROR('Cash Flow Data'!N11,0)</f>
        <v>-1910</v>
      </c>
      <c r="M77" s="15"/>
    </row>
    <row r="78" spans="1:13" x14ac:dyDescent="0.2">
      <c r="A78" s="37"/>
      <c r="B78" s="39" t="s">
        <v>119</v>
      </c>
      <c r="C78" s="41">
        <f t="shared" ref="C78:L78" si="22">IFERROR(SUM(C71:C77),0)</f>
        <v>22162.6</v>
      </c>
      <c r="D78" s="41">
        <f t="shared" si="22"/>
        <v>36151.199999999997</v>
      </c>
      <c r="E78" s="41">
        <f t="shared" si="22"/>
        <v>35531.300000000003</v>
      </c>
      <c r="F78" s="41">
        <f t="shared" si="22"/>
        <v>37899.5</v>
      </c>
      <c r="G78" s="41">
        <f t="shared" si="22"/>
        <v>30199.3</v>
      </c>
      <c r="H78" s="41">
        <f t="shared" si="22"/>
        <v>23857.4</v>
      </c>
      <c r="I78" s="41">
        <f t="shared" si="22"/>
        <v>18890.8</v>
      </c>
      <c r="J78" s="41">
        <f t="shared" si="22"/>
        <v>26632.9</v>
      </c>
      <c r="K78" s="41">
        <f t="shared" si="22"/>
        <v>29000.5</v>
      </c>
      <c r="L78" s="41">
        <f t="shared" si="22"/>
        <v>14282.8</v>
      </c>
    </row>
    <row r="80" spans="1:13" outlineLevel="1" x14ac:dyDescent="0.2">
      <c r="B80" s="9" t="s">
        <v>121</v>
      </c>
    </row>
    <row r="81" spans="1:12" outlineLevel="1" x14ac:dyDescent="0.2">
      <c r="B81" t="s">
        <v>96</v>
      </c>
      <c r="C81" s="15">
        <f>IFERROR('Cash Flow Data'!E13,0)</f>
        <v>-18863.5</v>
      </c>
      <c r="D81" s="15">
        <f>IFERROR('Cash Flow Data'!F13,0)</f>
        <v>-26974.9</v>
      </c>
      <c r="E81" s="15">
        <f>IFERROR('Cash Flow Data'!G13,0)</f>
        <v>-31961.4</v>
      </c>
      <c r="F81" s="15">
        <f>IFERROR('Cash Flow Data'!H13,0)</f>
        <v>-31502.9</v>
      </c>
      <c r="G81" s="15">
        <f>IFERROR('Cash Flow Data'!I13,0)</f>
        <v>-16071.4</v>
      </c>
      <c r="H81" s="15">
        <f>IFERROR('Cash Flow Data'!J13,0)</f>
        <v>-35078.1</v>
      </c>
      <c r="I81" s="15">
        <f>IFERROR('Cash Flow Data'!K13,0)</f>
        <v>-35303.1</v>
      </c>
      <c r="J81" s="15">
        <f>IFERROR('Cash Flow Data'!L13,0)</f>
        <v>-29700.6</v>
      </c>
      <c r="K81" s="15">
        <f>IFERROR('Cash Flow Data'!M13,0)</f>
        <v>-20206.5</v>
      </c>
      <c r="L81" s="15">
        <f>IFERROR('Cash Flow Data'!N13,0)</f>
        <v>-15169.7</v>
      </c>
    </row>
    <row r="82" spans="1:12" outlineLevel="1" x14ac:dyDescent="0.2">
      <c r="B82" t="s">
        <v>97</v>
      </c>
      <c r="C82" s="15">
        <f>IFERROR('Cash Flow Data'!E14,0)</f>
        <v>37</v>
      </c>
      <c r="D82" s="15">
        <f>IFERROR('Cash Flow Data'!F14,0)</f>
        <v>50</v>
      </c>
      <c r="E82" s="15">
        <f>IFERROR('Cash Flow Data'!G14,0)</f>
        <v>74</v>
      </c>
      <c r="F82" s="15">
        <f>IFERROR('Cash Flow Data'!H14,0)</f>
        <v>59</v>
      </c>
      <c r="G82" s="15">
        <f>IFERROR('Cash Flow Data'!I14,0)</f>
        <v>53</v>
      </c>
      <c r="H82" s="15">
        <f>IFERROR('Cash Flow Data'!J14,0)</f>
        <v>30</v>
      </c>
      <c r="I82" s="15">
        <f>IFERROR('Cash Flow Data'!K14,0)</f>
        <v>67</v>
      </c>
      <c r="J82" s="15">
        <f>IFERROR('Cash Flow Data'!L14,0)</f>
        <v>171</v>
      </c>
      <c r="K82" s="15">
        <f>IFERROR('Cash Flow Data'!M14,0)</f>
        <v>351</v>
      </c>
      <c r="L82" s="15">
        <f>IFERROR('Cash Flow Data'!N14,0)</f>
        <v>230</v>
      </c>
    </row>
    <row r="83" spans="1:12" outlineLevel="1" x14ac:dyDescent="0.2">
      <c r="B83" t="s">
        <v>98</v>
      </c>
      <c r="C83" s="15">
        <f>IFERROR('Cash Flow Data'!E15,0)</f>
        <v>73</v>
      </c>
      <c r="D83" s="15">
        <f>IFERROR('Cash Flow Data'!F15,0)</f>
        <v>-429</v>
      </c>
      <c r="E83" s="15">
        <f>IFERROR('Cash Flow Data'!G15,0)</f>
        <v>-5461</v>
      </c>
      <c r="F83" s="15">
        <f>IFERROR('Cash Flow Data'!H15,0)</f>
        <v>-4728</v>
      </c>
      <c r="G83" s="15">
        <f>IFERROR('Cash Flow Data'!I15,0)</f>
        <v>-6</v>
      </c>
      <c r="H83" s="15">
        <f>IFERROR('Cash Flow Data'!J15,0)</f>
        <v>-329</v>
      </c>
      <c r="I83" s="15">
        <f>IFERROR('Cash Flow Data'!K15,0)</f>
        <v>-130</v>
      </c>
      <c r="J83" s="15">
        <f>IFERROR('Cash Flow Data'!L15,0)</f>
        <v>-1439</v>
      </c>
      <c r="K83" s="15">
        <f>IFERROR('Cash Flow Data'!M15,0)</f>
        <v>-7530</v>
      </c>
      <c r="L83" s="15">
        <f>IFERROR('Cash Flow Data'!N15,0)</f>
        <v>-3008</v>
      </c>
    </row>
    <row r="84" spans="1:12" outlineLevel="1" x14ac:dyDescent="0.2">
      <c r="B84" t="s">
        <v>99</v>
      </c>
      <c r="C84" s="15">
        <f>IFERROR('Cash Flow Data'!E16,0)</f>
        <v>34</v>
      </c>
      <c r="D84" s="15">
        <f>IFERROR('Cash Flow Data'!F16,0)</f>
        <v>4</v>
      </c>
      <c r="E84" s="15">
        <f>IFERROR('Cash Flow Data'!G16,0)</f>
        <v>42</v>
      </c>
      <c r="F84" s="15">
        <f>IFERROR('Cash Flow Data'!H16,0)</f>
        <v>89</v>
      </c>
      <c r="G84" s="15">
        <f>IFERROR('Cash Flow Data'!I16,0)</f>
        <v>1965</v>
      </c>
      <c r="H84" s="15">
        <f>IFERROR('Cash Flow Data'!J16,0)</f>
        <v>2381</v>
      </c>
      <c r="I84" s="15">
        <f>IFERROR('Cash Flow Data'!K16,0)</f>
        <v>5644</v>
      </c>
      <c r="J84" s="15">
        <f>IFERROR('Cash Flow Data'!L16,0)</f>
        <v>21</v>
      </c>
      <c r="K84" s="15">
        <f>IFERROR('Cash Flow Data'!M16,0)</f>
        <v>226</v>
      </c>
      <c r="L84" s="15">
        <f>IFERROR('Cash Flow Data'!N16,0)</f>
        <v>104</v>
      </c>
    </row>
    <row r="85" spans="1:12" outlineLevel="1" x14ac:dyDescent="0.2">
      <c r="B85" t="s">
        <v>100</v>
      </c>
      <c r="C85" s="15">
        <f>IFERROR('Cash Flow Data'!E17,0)</f>
        <v>713</v>
      </c>
      <c r="D85" s="15">
        <f>IFERROR('Cash Flow Data'!F17,0)</f>
        <v>653</v>
      </c>
      <c r="E85" s="15">
        <f>IFERROR('Cash Flow Data'!G17,0)</f>
        <v>698</v>
      </c>
      <c r="F85" s="15">
        <f>IFERROR('Cash Flow Data'!H17,0)</f>
        <v>731</v>
      </c>
      <c r="G85" s="15">
        <f>IFERROR('Cash Flow Data'!I17,0)</f>
        <v>638</v>
      </c>
      <c r="H85" s="15">
        <f>IFERROR('Cash Flow Data'!J17,0)</f>
        <v>690</v>
      </c>
      <c r="I85" s="15">
        <f>IFERROR('Cash Flow Data'!K17,0)</f>
        <v>761</v>
      </c>
      <c r="J85" s="15">
        <f>IFERROR('Cash Flow Data'!L17,0)</f>
        <v>1104</v>
      </c>
      <c r="K85" s="15">
        <f>IFERROR('Cash Flow Data'!M17,0)</f>
        <v>428</v>
      </c>
      <c r="L85" s="15">
        <f>IFERROR('Cash Flow Data'!N17,0)</f>
        <v>653</v>
      </c>
    </row>
    <row r="86" spans="1:12" outlineLevel="1" x14ac:dyDescent="0.2">
      <c r="B86" t="s">
        <v>101</v>
      </c>
      <c r="C86" s="15">
        <f>IFERROR('Cash Flow Data'!E18,0)</f>
        <v>95</v>
      </c>
      <c r="D86" s="15">
        <f>IFERROR('Cash Flow Data'!F18,0)</f>
        <v>40</v>
      </c>
      <c r="E86" s="15">
        <f>IFERROR('Cash Flow Data'!G18,0)</f>
        <v>80</v>
      </c>
      <c r="F86" s="15">
        <f>IFERROR('Cash Flow Data'!H18,0)</f>
        <v>58</v>
      </c>
      <c r="G86" s="15">
        <f>IFERROR('Cash Flow Data'!I18,0)</f>
        <v>620</v>
      </c>
      <c r="H86" s="15">
        <f>IFERROR('Cash Flow Data'!J18,0)</f>
        <v>1797</v>
      </c>
      <c r="I86" s="15">
        <f>IFERROR('Cash Flow Data'!K18,0)</f>
        <v>232</v>
      </c>
      <c r="J86" s="15">
        <f>IFERROR('Cash Flow Data'!L18,0)</f>
        <v>21</v>
      </c>
      <c r="K86" s="15">
        <f>IFERROR('Cash Flow Data'!M18,0)</f>
        <v>18</v>
      </c>
      <c r="L86" s="15">
        <f>IFERROR('Cash Flow Data'!N18,0)</f>
        <v>32</v>
      </c>
    </row>
    <row r="87" spans="1:12" outlineLevel="1" x14ac:dyDescent="0.2">
      <c r="B87" t="s">
        <v>102</v>
      </c>
      <c r="C87" s="15">
        <f>IFERROR('Cash Flow Data'!E19,0)</f>
        <v>0</v>
      </c>
      <c r="D87" s="15">
        <f>IFERROR('Cash Flow Data'!F19,0)</f>
        <v>0</v>
      </c>
      <c r="E87" s="15">
        <f>IFERROR('Cash Flow Data'!G19,0)</f>
        <v>0</v>
      </c>
      <c r="F87" s="15">
        <f>IFERROR('Cash Flow Data'!H19,0)</f>
        <v>0</v>
      </c>
      <c r="G87" s="15">
        <f>IFERROR('Cash Flow Data'!I19,0)</f>
        <v>0</v>
      </c>
      <c r="H87" s="15">
        <f>IFERROR('Cash Flow Data'!J19,0)</f>
        <v>0</v>
      </c>
      <c r="I87" s="15">
        <f>IFERROR('Cash Flow Data'!K19,0)</f>
        <v>0</v>
      </c>
      <c r="J87" s="15">
        <f>IFERROR('Cash Flow Data'!L19,0)</f>
        <v>0</v>
      </c>
      <c r="K87" s="15">
        <f>IFERROR('Cash Flow Data'!M19,0)</f>
        <v>0</v>
      </c>
      <c r="L87" s="15">
        <f>IFERROR('Cash Flow Data'!N19,0)</f>
        <v>0</v>
      </c>
    </row>
    <row r="88" spans="1:12" outlineLevel="1" x14ac:dyDescent="0.2">
      <c r="B88" t="s">
        <v>103</v>
      </c>
      <c r="C88" s="15">
        <f>IFERROR('Cash Flow Data'!E20,0)</f>
        <v>0</v>
      </c>
      <c r="D88" s="15">
        <f>IFERROR('Cash Flow Data'!F20,0)</f>
        <v>0</v>
      </c>
      <c r="E88" s="15">
        <f>IFERROR('Cash Flow Data'!G20,0)</f>
        <v>-160</v>
      </c>
      <c r="F88" s="15">
        <f>IFERROR('Cash Flow Data'!H20,0)</f>
        <v>0</v>
      </c>
      <c r="G88" s="15">
        <f>IFERROR('Cash Flow Data'!I20,0)</f>
        <v>-107</v>
      </c>
      <c r="H88" s="15">
        <f>IFERROR('Cash Flow Data'!J20,0)</f>
        <v>-4</v>
      </c>
      <c r="I88" s="15">
        <f>IFERROR('Cash Flow Data'!K20,0)</f>
        <v>-9</v>
      </c>
      <c r="J88" s="15">
        <f>IFERROR('Cash Flow Data'!L20,0)</f>
        <v>-606</v>
      </c>
      <c r="K88" s="15">
        <f>IFERROR('Cash Flow Data'!M20,0)</f>
        <v>-10</v>
      </c>
      <c r="L88" s="15">
        <f>IFERROR('Cash Flow Data'!N20,0)</f>
        <v>0</v>
      </c>
    </row>
    <row r="89" spans="1:12" outlineLevel="1" x14ac:dyDescent="0.2">
      <c r="B89" t="s">
        <v>104</v>
      </c>
      <c r="C89" s="15">
        <f>IFERROR('Cash Flow Data'!E21,0)</f>
        <v>0</v>
      </c>
      <c r="D89" s="15">
        <f>IFERROR('Cash Flow Data'!F21,0)</f>
        <v>0</v>
      </c>
      <c r="E89" s="15">
        <f>IFERROR('Cash Flow Data'!G21,0)</f>
        <v>0</v>
      </c>
      <c r="F89" s="15">
        <f>IFERROR('Cash Flow Data'!H21,0)</f>
        <v>0</v>
      </c>
      <c r="G89" s="15">
        <f>IFERROR('Cash Flow Data'!I21,0)</f>
        <v>0</v>
      </c>
      <c r="H89" s="15">
        <f>IFERROR('Cash Flow Data'!J21,0)</f>
        <v>14</v>
      </c>
      <c r="I89" s="15">
        <f>IFERROR('Cash Flow Data'!K21,0)</f>
        <v>533</v>
      </c>
      <c r="J89" s="15">
        <f>IFERROR('Cash Flow Data'!L21,0)</f>
        <v>0</v>
      </c>
      <c r="K89" s="15">
        <f>IFERROR('Cash Flow Data'!M21,0)</f>
        <v>0</v>
      </c>
      <c r="L89" s="15">
        <f>IFERROR('Cash Flow Data'!N21,0)</f>
        <v>0</v>
      </c>
    </row>
    <row r="90" spans="1:12" outlineLevel="1" x14ac:dyDescent="0.2">
      <c r="B90" t="s">
        <v>105</v>
      </c>
      <c r="C90" s="15">
        <f>IFERROR('Cash Flow Data'!E22,0)</f>
        <v>0</v>
      </c>
      <c r="D90" s="15">
        <f>IFERROR('Cash Flow Data'!F22,0)</f>
        <v>-185</v>
      </c>
      <c r="E90" s="15">
        <f>IFERROR('Cash Flow Data'!G22,0)</f>
        <v>0</v>
      </c>
      <c r="F90" s="15">
        <f>IFERROR('Cash Flow Data'!H22,0)</f>
        <v>-111</v>
      </c>
      <c r="G90" s="15">
        <f>IFERROR('Cash Flow Data'!I22,0)</f>
        <v>0</v>
      </c>
      <c r="H90" s="15">
        <f>IFERROR('Cash Flow Data'!J22,0)</f>
        <v>0</v>
      </c>
      <c r="I90" s="15">
        <f>IFERROR('Cash Flow Data'!K22,0)</f>
        <v>-8</v>
      </c>
      <c r="J90" s="15">
        <f>IFERROR('Cash Flow Data'!L22,0)</f>
        <v>-27</v>
      </c>
      <c r="K90" s="15">
        <f>IFERROR('Cash Flow Data'!M22,0)</f>
        <v>0</v>
      </c>
      <c r="L90" s="15">
        <f>IFERROR('Cash Flow Data'!N22,0)</f>
        <v>-98</v>
      </c>
    </row>
    <row r="91" spans="1:12" outlineLevel="1" x14ac:dyDescent="0.2">
      <c r="B91" t="s">
        <v>106</v>
      </c>
      <c r="C91" s="15">
        <f>IFERROR('Cash Flow Data'!E23,0)</f>
        <v>45</v>
      </c>
      <c r="D91" s="15">
        <f>IFERROR('Cash Flow Data'!F23,0)</f>
        <v>0</v>
      </c>
      <c r="E91" s="15">
        <f>IFERROR('Cash Flow Data'!G23,0)</f>
        <v>0</v>
      </c>
      <c r="F91" s="15">
        <f>IFERROR('Cash Flow Data'!H23,0)</f>
        <v>0</v>
      </c>
      <c r="G91" s="15">
        <f>IFERROR('Cash Flow Data'!I23,0)</f>
        <v>0</v>
      </c>
      <c r="H91" s="15">
        <f>IFERROR('Cash Flow Data'!J23,0)</f>
        <v>0</v>
      </c>
      <c r="I91" s="15">
        <f>IFERROR('Cash Flow Data'!K23,0)</f>
        <v>0</v>
      </c>
      <c r="J91" s="15">
        <f>IFERROR('Cash Flow Data'!L23,0)</f>
        <v>0</v>
      </c>
      <c r="K91" s="15">
        <f>IFERROR('Cash Flow Data'!M23,0)</f>
        <v>0</v>
      </c>
      <c r="L91" s="15">
        <f>IFERROR('Cash Flow Data'!N23,0)</f>
        <v>0</v>
      </c>
    </row>
    <row r="92" spans="1:12" outlineLevel="1" x14ac:dyDescent="0.2">
      <c r="B92" t="s">
        <v>107</v>
      </c>
      <c r="C92" s="15">
        <f>IFERROR('Cash Flow Data'!E24,0)</f>
        <v>-5103</v>
      </c>
      <c r="D92" s="15">
        <f>IFERROR('Cash Flow Data'!F24,0)</f>
        <v>-1149</v>
      </c>
      <c r="E92" s="15">
        <f>IFERROR('Cash Flow Data'!G24,0)</f>
        <v>456</v>
      </c>
      <c r="F92" s="15">
        <f>IFERROR('Cash Flow Data'!H24,0)</f>
        <v>-1289</v>
      </c>
      <c r="G92" s="15">
        <f>IFERROR('Cash Flow Data'!I24,0)</f>
        <v>-26663</v>
      </c>
      <c r="H92" s="15">
        <f>IFERROR('Cash Flow Data'!J24,0)</f>
        <v>5360</v>
      </c>
      <c r="I92" s="15">
        <f>IFERROR('Cash Flow Data'!K24,0)</f>
        <v>7335</v>
      </c>
      <c r="J92" s="15">
        <f>IFERROR('Cash Flow Data'!L24,0)</f>
        <v>-2659</v>
      </c>
      <c r="K92" s="15">
        <f>IFERROR('Cash Flow Data'!M24,0)</f>
        <v>1051</v>
      </c>
      <c r="L92" s="15">
        <f>IFERROR('Cash Flow Data'!N24,0)</f>
        <v>12813</v>
      </c>
    </row>
    <row r="93" spans="1:12" x14ac:dyDescent="0.2">
      <c r="A93" s="37"/>
      <c r="B93" s="39" t="s">
        <v>122</v>
      </c>
      <c r="C93" s="41">
        <f>IFERROR(SUM(C81:C92),0)</f>
        <v>-22969.5</v>
      </c>
      <c r="D93" s="41">
        <f t="shared" ref="D93:L93" si="23">IFERROR(SUM(D81:D92),0)</f>
        <v>-27990.9</v>
      </c>
      <c r="E93" s="41">
        <f t="shared" si="23"/>
        <v>-36232.400000000001</v>
      </c>
      <c r="F93" s="41">
        <f t="shared" si="23"/>
        <v>-36693.9</v>
      </c>
      <c r="G93" s="41">
        <f t="shared" si="23"/>
        <v>-39571.4</v>
      </c>
      <c r="H93" s="41">
        <f t="shared" si="23"/>
        <v>-25139.1</v>
      </c>
      <c r="I93" s="41">
        <f t="shared" si="23"/>
        <v>-20878.099999999999</v>
      </c>
      <c r="J93" s="41">
        <f t="shared" si="23"/>
        <v>-33114.6</v>
      </c>
      <c r="K93" s="41">
        <f t="shared" si="23"/>
        <v>-25672.5</v>
      </c>
      <c r="L93" s="41">
        <f t="shared" si="23"/>
        <v>-4443.7000000000007</v>
      </c>
    </row>
    <row r="95" spans="1:12" outlineLevel="1" x14ac:dyDescent="0.2">
      <c r="B95" s="9" t="s">
        <v>123</v>
      </c>
    </row>
    <row r="96" spans="1:12" outlineLevel="1" x14ac:dyDescent="0.2">
      <c r="B96" t="s">
        <v>109</v>
      </c>
      <c r="C96" s="15">
        <f>IFERROR('Cash Flow Data'!E26,0)</f>
        <v>1</v>
      </c>
      <c r="D96" s="15">
        <f>IFERROR('Cash Flow Data'!F26,0)</f>
        <v>0</v>
      </c>
      <c r="E96" s="15">
        <f>IFERROR('Cash Flow Data'!G26,0)</f>
        <v>0</v>
      </c>
      <c r="F96" s="15">
        <f>IFERROR('Cash Flow Data'!H26,0)</f>
        <v>7433</v>
      </c>
      <c r="G96" s="15">
        <f>IFERROR('Cash Flow Data'!I26,0)</f>
        <v>5</v>
      </c>
      <c r="H96" s="15">
        <f>IFERROR('Cash Flow Data'!J26,0)</f>
        <v>0</v>
      </c>
      <c r="I96" s="15">
        <f>IFERROR('Cash Flow Data'!K26,0)</f>
        <v>0</v>
      </c>
      <c r="J96" s="15">
        <f>IFERROR('Cash Flow Data'!L26,0)</f>
        <v>3889</v>
      </c>
      <c r="K96" s="15">
        <f>IFERROR('Cash Flow Data'!M26,0)</f>
        <v>2603</v>
      </c>
      <c r="L96" s="15">
        <f>IFERROR('Cash Flow Data'!N26,0)</f>
        <v>19</v>
      </c>
    </row>
    <row r="97" spans="1:12" outlineLevel="1" x14ac:dyDescent="0.2">
      <c r="B97" t="s">
        <v>110</v>
      </c>
      <c r="C97" s="15">
        <f>IFERROR('Cash Flow Data'!E27,0)</f>
        <v>-97</v>
      </c>
      <c r="D97" s="15">
        <f>IFERROR('Cash Flow Data'!F27,0)</f>
        <v>-658</v>
      </c>
      <c r="E97" s="15">
        <f>IFERROR('Cash Flow Data'!G27,0)</f>
        <v>-744</v>
      </c>
      <c r="F97" s="15">
        <f>IFERROR('Cash Flow Data'!H27,0)</f>
        <v>0</v>
      </c>
      <c r="G97" s="15">
        <f>IFERROR('Cash Flow Data'!I27,0)</f>
        <v>0</v>
      </c>
      <c r="H97" s="15">
        <f>IFERROR('Cash Flow Data'!J27,0)</f>
        <v>0</v>
      </c>
      <c r="I97" s="15">
        <f>IFERROR('Cash Flow Data'!K27,0)</f>
        <v>0</v>
      </c>
      <c r="J97" s="15">
        <f>IFERROR('Cash Flow Data'!L27,0)</f>
        <v>0</v>
      </c>
      <c r="K97" s="15">
        <f>IFERROR('Cash Flow Data'!M27,0)</f>
        <v>0</v>
      </c>
      <c r="L97" s="15">
        <f>IFERROR('Cash Flow Data'!N27,0)</f>
        <v>0</v>
      </c>
    </row>
    <row r="98" spans="1:12" outlineLevel="1" x14ac:dyDescent="0.2">
      <c r="B98" t="s">
        <v>111</v>
      </c>
      <c r="C98" s="15">
        <f>IFERROR('Cash Flow Data'!E28,0)</f>
        <v>27863</v>
      </c>
      <c r="D98" s="15">
        <f>IFERROR('Cash Flow Data'!F28,0)</f>
        <v>33258</v>
      </c>
      <c r="E98" s="15">
        <f>IFERROR('Cash Flow Data'!G28,0)</f>
        <v>36363</v>
      </c>
      <c r="F98" s="15">
        <f>IFERROR('Cash Flow Data'!H28,0)</f>
        <v>19519</v>
      </c>
      <c r="G98" s="15">
        <f>IFERROR('Cash Flow Data'!I28,0)</f>
        <v>33390</v>
      </c>
      <c r="H98" s="15">
        <f>IFERROR('Cash Flow Data'!J28,0)</f>
        <v>37482</v>
      </c>
      <c r="I98" s="15">
        <f>IFERROR('Cash Flow Data'!K28,0)</f>
        <v>51128</v>
      </c>
      <c r="J98" s="15">
        <f>IFERROR('Cash Flow Data'!L28,0)</f>
        <v>38297</v>
      </c>
      <c r="K98" s="15">
        <f>IFERROR('Cash Flow Data'!M28,0)</f>
        <v>46641</v>
      </c>
      <c r="L98" s="15">
        <f>IFERROR('Cash Flow Data'!N28,0)</f>
        <v>46578</v>
      </c>
    </row>
    <row r="99" spans="1:12" outlineLevel="1" x14ac:dyDescent="0.2">
      <c r="B99" t="s">
        <v>112</v>
      </c>
      <c r="C99" s="15">
        <f>IFERROR('Cash Flow Data'!E29,0)</f>
        <v>-20393.099999999999</v>
      </c>
      <c r="D99" s="15">
        <f>IFERROR('Cash Flow Data'!F29,0)</f>
        <v>-29140.2</v>
      </c>
      <c r="E99" s="15">
        <f>IFERROR('Cash Flow Data'!G29,0)</f>
        <v>-23333.599999999999</v>
      </c>
      <c r="F99" s="15">
        <f>IFERROR('Cash Flow Data'!H29,0)</f>
        <v>-24923.1</v>
      </c>
      <c r="G99" s="15">
        <f>IFERROR('Cash Flow Data'!I29,0)</f>
        <v>-21732.7</v>
      </c>
      <c r="H99" s="15">
        <f>IFERROR('Cash Flow Data'!J29,0)</f>
        <v>-29963.3</v>
      </c>
      <c r="I99" s="15">
        <f>IFERROR('Cash Flow Data'!K29,0)</f>
        <v>-35197.599999999999</v>
      </c>
      <c r="J99" s="15">
        <f>IFERROR('Cash Flow Data'!L29,0)</f>
        <v>-29846.400000000001</v>
      </c>
      <c r="K99" s="15">
        <f>IFERROR('Cash Flow Data'!M29,0)</f>
        <v>-29709.8</v>
      </c>
      <c r="L99" s="15">
        <f>IFERROR('Cash Flow Data'!N29,0)</f>
        <v>-42817.2</v>
      </c>
    </row>
    <row r="100" spans="1:12" outlineLevel="1" x14ac:dyDescent="0.2">
      <c r="B100" t="s">
        <v>113</v>
      </c>
      <c r="C100" s="15">
        <f>IFERROR('Cash Flow Data'!E30,0)</f>
        <v>0</v>
      </c>
      <c r="D100" s="15">
        <f>IFERROR('Cash Flow Data'!F30,0)</f>
        <v>0</v>
      </c>
      <c r="E100" s="15">
        <f>IFERROR('Cash Flow Data'!G30,0)</f>
        <v>0</v>
      </c>
      <c r="F100" s="15">
        <f>IFERROR('Cash Flow Data'!H30,0)</f>
        <v>0</v>
      </c>
      <c r="G100" s="15">
        <f>IFERROR('Cash Flow Data'!I30,0)</f>
        <v>0</v>
      </c>
      <c r="H100" s="15">
        <f>IFERROR('Cash Flow Data'!J30,0)</f>
        <v>0</v>
      </c>
      <c r="I100" s="15">
        <f>IFERROR('Cash Flow Data'!K30,0)</f>
        <v>0</v>
      </c>
      <c r="J100" s="15">
        <f>IFERROR('Cash Flow Data'!L30,0)</f>
        <v>0</v>
      </c>
      <c r="K100" s="15">
        <f>IFERROR('Cash Flow Data'!M30,0)</f>
        <v>0</v>
      </c>
      <c r="L100" s="15">
        <f>IFERROR('Cash Flow Data'!N30,0)</f>
        <v>0</v>
      </c>
    </row>
    <row r="101" spans="1:12" outlineLevel="1" x14ac:dyDescent="0.2">
      <c r="B101" t="s">
        <v>114</v>
      </c>
      <c r="C101" s="15">
        <f>IFERROR('Cash Flow Data'!E31,0)</f>
        <v>-4666</v>
      </c>
      <c r="D101" s="15">
        <f>IFERROR('Cash Flow Data'!F31,0)</f>
        <v>-6171</v>
      </c>
      <c r="E101" s="15">
        <f>IFERROR('Cash Flow Data'!G31,0)</f>
        <v>-6307</v>
      </c>
      <c r="F101" s="15">
        <f>IFERROR('Cash Flow Data'!H31,0)</f>
        <v>-5716</v>
      </c>
      <c r="G101" s="15">
        <f>IFERROR('Cash Flow Data'!I31,0)</f>
        <v>-5336</v>
      </c>
      <c r="H101" s="15">
        <f>IFERROR('Cash Flow Data'!J31,0)</f>
        <v>-5411</v>
      </c>
      <c r="I101" s="15">
        <f>IFERROR('Cash Flow Data'!K31,0)</f>
        <v>-7005</v>
      </c>
      <c r="J101" s="15">
        <f>IFERROR('Cash Flow Data'!L31,0)</f>
        <v>-7518</v>
      </c>
      <c r="K101" s="15">
        <f>IFERROR('Cash Flow Data'!M31,0)</f>
        <v>-8123</v>
      </c>
      <c r="L101" s="15">
        <f>IFERROR('Cash Flow Data'!N31,0)</f>
        <v>-9251</v>
      </c>
    </row>
    <row r="102" spans="1:12" outlineLevel="1" x14ac:dyDescent="0.2">
      <c r="B102" t="s">
        <v>115</v>
      </c>
      <c r="C102" s="15">
        <f>IFERROR('Cash Flow Data'!E32,0)</f>
        <v>-1551</v>
      </c>
      <c r="D102" s="15">
        <f>IFERROR('Cash Flow Data'!F32,0)</f>
        <v>-722</v>
      </c>
      <c r="E102" s="15">
        <f>IFERROR('Cash Flow Data'!G32,0)</f>
        <v>-720</v>
      </c>
      <c r="F102" s="15">
        <f>IFERROR('Cash Flow Data'!H32,0)</f>
        <v>-108</v>
      </c>
      <c r="G102" s="15">
        <f>IFERROR('Cash Flow Data'!I32,0)</f>
        <v>-121</v>
      </c>
      <c r="H102" s="15">
        <f>IFERROR('Cash Flow Data'!J32,0)</f>
        <v>-96</v>
      </c>
      <c r="I102" s="15">
        <f>IFERROR('Cash Flow Data'!K32,0)</f>
        <v>-95</v>
      </c>
      <c r="J102" s="15">
        <f>IFERROR('Cash Flow Data'!L32,0)</f>
        <v>-57</v>
      </c>
      <c r="K102" s="15">
        <f>IFERROR('Cash Flow Data'!M32,0)</f>
        <v>-30</v>
      </c>
      <c r="L102" s="15">
        <f>IFERROR('Cash Flow Data'!N32,0)</f>
        <v>-100</v>
      </c>
    </row>
    <row r="103" spans="1:12" outlineLevel="1" x14ac:dyDescent="0.2">
      <c r="B103" t="s">
        <v>116</v>
      </c>
      <c r="C103" s="15">
        <f>IFERROR('Cash Flow Data'!E33,0)</f>
        <v>0</v>
      </c>
      <c r="D103" s="15">
        <f>IFERROR('Cash Flow Data'!F33,0)</f>
        <v>0</v>
      </c>
      <c r="E103" s="15">
        <f>IFERROR('Cash Flow Data'!G33,0)</f>
        <v>0</v>
      </c>
      <c r="F103" s="15">
        <f>IFERROR('Cash Flow Data'!H33,0)</f>
        <v>0</v>
      </c>
      <c r="G103" s="15">
        <f>IFERROR('Cash Flow Data'!I33,0)</f>
        <v>0</v>
      </c>
      <c r="H103" s="15">
        <f>IFERROR('Cash Flow Data'!J33,0)</f>
        <v>0</v>
      </c>
      <c r="I103" s="15">
        <f>IFERROR('Cash Flow Data'!K33,0)</f>
        <v>0</v>
      </c>
      <c r="J103" s="15">
        <f>IFERROR('Cash Flow Data'!L33,0)</f>
        <v>-1346</v>
      </c>
      <c r="K103" s="15">
        <f>IFERROR('Cash Flow Data'!M33,0)</f>
        <v>-1477</v>
      </c>
      <c r="L103" s="15">
        <f>IFERROR('Cash Flow Data'!N33,0)</f>
        <v>-1559</v>
      </c>
    </row>
    <row r="104" spans="1:12" outlineLevel="1" x14ac:dyDescent="0.2">
      <c r="B104" t="s">
        <v>117</v>
      </c>
      <c r="C104" s="15">
        <f>IFERROR('Cash Flow Data'!E34,0)</f>
        <v>-2849</v>
      </c>
      <c r="D104" s="15">
        <f>IFERROR('Cash Flow Data'!F34,0)</f>
        <v>-450</v>
      </c>
      <c r="E104" s="15">
        <f>IFERROR('Cash Flow Data'!G34,0)</f>
        <v>-57</v>
      </c>
      <c r="F104" s="15">
        <f>IFERROR('Cash Flow Data'!H34,0)</f>
        <v>0</v>
      </c>
      <c r="G104" s="15">
        <f>IFERROR('Cash Flow Data'!I34,0)</f>
        <v>0</v>
      </c>
      <c r="H104" s="15">
        <f>IFERROR('Cash Flow Data'!J34,0)</f>
        <v>0</v>
      </c>
      <c r="I104" s="15">
        <f>IFERROR('Cash Flow Data'!K34,0)</f>
        <v>0</v>
      </c>
      <c r="J104" s="15">
        <f>IFERROR('Cash Flow Data'!L34,0)</f>
        <v>-29</v>
      </c>
      <c r="K104" s="15">
        <f>IFERROR('Cash Flow Data'!M34,0)</f>
        <v>0</v>
      </c>
      <c r="L104" s="15">
        <f>IFERROR('Cash Flow Data'!N34,0)</f>
        <v>3750</v>
      </c>
    </row>
    <row r="105" spans="1:12" x14ac:dyDescent="0.2">
      <c r="A105" s="37"/>
      <c r="B105" s="39" t="s">
        <v>124</v>
      </c>
      <c r="C105" s="41">
        <f>IFERROR(SUM(C96:C104),0)</f>
        <v>-1692.0999999999985</v>
      </c>
      <c r="D105" s="41">
        <f t="shared" ref="D105:L105" si="24">IFERROR(SUM(D96:D104),0)</f>
        <v>-3883.2000000000007</v>
      </c>
      <c r="E105" s="41">
        <f t="shared" si="24"/>
        <v>5201.4000000000015</v>
      </c>
      <c r="F105" s="41">
        <f t="shared" si="24"/>
        <v>-3795.0999999999985</v>
      </c>
      <c r="G105" s="41">
        <f t="shared" si="24"/>
        <v>6205.2999999999993</v>
      </c>
      <c r="H105" s="41">
        <f t="shared" si="24"/>
        <v>2011.7000000000007</v>
      </c>
      <c r="I105" s="41">
        <f t="shared" si="24"/>
        <v>8830.4000000000015</v>
      </c>
      <c r="J105" s="41">
        <f t="shared" si="24"/>
        <v>3389.5999999999985</v>
      </c>
      <c r="K105" s="41">
        <f t="shared" si="24"/>
        <v>9904.2000000000007</v>
      </c>
      <c r="L105" s="41">
        <f t="shared" si="24"/>
        <v>-3380.1999999999971</v>
      </c>
    </row>
    <row r="107" spans="1:12" x14ac:dyDescent="0.2">
      <c r="A107" s="37"/>
      <c r="B107" s="39" t="s">
        <v>52</v>
      </c>
      <c r="C107" s="41">
        <f>IFERROR(C78+C93+C105,0)</f>
        <v>-2499</v>
      </c>
      <c r="D107" s="41">
        <f t="shared" ref="D107:L107" si="25">IFERROR(D78+D93+D105,0)</f>
        <v>4277.0999999999949</v>
      </c>
      <c r="E107" s="41">
        <f t="shared" si="25"/>
        <v>4500.3000000000029</v>
      </c>
      <c r="F107" s="41">
        <f t="shared" si="25"/>
        <v>-2589.5</v>
      </c>
      <c r="G107" s="41">
        <f t="shared" si="25"/>
        <v>-3166.8000000000029</v>
      </c>
      <c r="H107" s="41">
        <f t="shared" si="25"/>
        <v>730.00000000000364</v>
      </c>
      <c r="I107" s="41">
        <f t="shared" si="25"/>
        <v>6843.1000000000022</v>
      </c>
      <c r="J107" s="41">
        <f t="shared" si="25"/>
        <v>-3092.0999999999985</v>
      </c>
      <c r="K107" s="41">
        <f t="shared" si="25"/>
        <v>13232.2</v>
      </c>
      <c r="L107" s="41">
        <f t="shared" si="25"/>
        <v>6458.9000000000015</v>
      </c>
    </row>
  </sheetData>
  <mergeCells count="1">
    <mergeCell ref="B2:M2"/>
  </mergeCells>
  <pageMargins left="0.7" right="0.7" top="0.75" bottom="0.75" header="0.3" footer="0.3"/>
  <ignoredErrors>
    <ignoredError sqref="M6 C15 D15:L15 M18 M9 M21 M24 M30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0A8F0-04E0-0045-9F1F-0F911B614E9A}">
  <dimension ref="B2:O40"/>
  <sheetViews>
    <sheetView showGridLines="0" zoomScale="125" zoomScaleNormal="125" workbookViewId="0">
      <pane ySplit="3" topLeftCell="A4" activePane="bottomLeft" state="frozen"/>
      <selection pane="bottomLeft" activeCell="C22" sqref="C22"/>
    </sheetView>
  </sheetViews>
  <sheetFormatPr baseColWidth="10" defaultRowHeight="15" x14ac:dyDescent="0.2"/>
  <cols>
    <col min="1" max="1" width="2" customWidth="1"/>
    <col min="2" max="2" width="28.5" customWidth="1"/>
    <col min="3" max="9" width="11.6640625" bestFit="1" customWidth="1"/>
    <col min="10" max="10" width="12.1640625" bestFit="1" customWidth="1"/>
    <col min="11" max="11" width="11.6640625" bestFit="1" customWidth="1"/>
    <col min="12" max="12" width="12.1640625" bestFit="1" customWidth="1"/>
    <col min="13" max="13" width="14.1640625" style="62" customWidth="1"/>
  </cols>
  <sheetData>
    <row r="2" spans="2:15" x14ac:dyDescent="0.2">
      <c r="B2" s="81" t="str">
        <f>"Ratio Analysis - "&amp;'Data Sheet'!B1</f>
        <v>Ratio Analysis - TATA CONSUMER PRODUCTS LTD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2:15" x14ac:dyDescent="0.2">
      <c r="B3" s="12" t="s">
        <v>56</v>
      </c>
      <c r="C3" s="13">
        <f>'Data Sheet'!B16</f>
        <v>42460</v>
      </c>
      <c r="D3" s="13">
        <f>'Data Sheet'!C16</f>
        <v>42825</v>
      </c>
      <c r="E3" s="13">
        <f>'Data Sheet'!D16</f>
        <v>43190</v>
      </c>
      <c r="F3" s="13">
        <f>'Data Sheet'!E16</f>
        <v>43555</v>
      </c>
      <c r="G3" s="13">
        <f>'Data Sheet'!F16</f>
        <v>43921</v>
      </c>
      <c r="H3" s="13">
        <f>'Data Sheet'!G16</f>
        <v>44286</v>
      </c>
      <c r="I3" s="13">
        <f>'Data Sheet'!H16</f>
        <v>44651</v>
      </c>
      <c r="J3" s="13">
        <f>'Data Sheet'!I16</f>
        <v>45016</v>
      </c>
      <c r="K3" s="13">
        <f>'Data Sheet'!J16</f>
        <v>45382</v>
      </c>
      <c r="L3" s="13">
        <f>'Data Sheet'!K16</f>
        <v>45747</v>
      </c>
      <c r="M3" s="61" t="s">
        <v>156</v>
      </c>
      <c r="N3" s="60" t="s">
        <v>154</v>
      </c>
      <c r="O3" s="60" t="s">
        <v>155</v>
      </c>
    </row>
    <row r="5" spans="2:15" x14ac:dyDescent="0.2">
      <c r="B5" s="49" t="s">
        <v>125</v>
      </c>
      <c r="C5" s="43" t="str">
        <f>IFERROR('Historical FS'!C7,0)</f>
        <v>-</v>
      </c>
      <c r="D5" s="44">
        <f>IFERROR('Historical FS'!D7,0)</f>
        <v>2.1548879385945074E-2</v>
      </c>
      <c r="E5" s="44">
        <f>IFERROR('Historical FS'!E7,0)</f>
        <v>5.2805864696034988E-3</v>
      </c>
      <c r="F5" s="44">
        <f>IFERROR('Historical FS'!F7,0)</f>
        <v>6.3995246025515984E-2</v>
      </c>
      <c r="G5" s="44">
        <f>IFERROR('Historical FS'!G7,0)</f>
        <v>0.32902433979176715</v>
      </c>
      <c r="H5" s="44">
        <f>IFERROR('Historical FS'!H7,0)</f>
        <v>0.20385227581655685</v>
      </c>
      <c r="I5" s="44">
        <f>IFERROR('Historical FS'!I7,0)</f>
        <v>7.0965167302618593E-2</v>
      </c>
      <c r="J5" s="44">
        <f>IFERROR('Historical FS'!J7,0)</f>
        <v>0.10927561915661266</v>
      </c>
      <c r="K5" s="44">
        <f>IFERROR('Historical FS'!K7,0)</f>
        <v>0.10321943589133409</v>
      </c>
      <c r="L5" s="44">
        <f>IFERROR('Historical FS'!L7,0)</f>
        <v>0.1586527553540249</v>
      </c>
      <c r="M5" s="63"/>
      <c r="N5" s="57">
        <f>IFERROR(AVERAGE(D5:L5),0)</f>
        <v>0.11842381168821986</v>
      </c>
      <c r="O5" s="57">
        <f>IFERROR(MEDIAN(D5:L5),0)</f>
        <v>0.10321943589133409</v>
      </c>
    </row>
    <row r="6" spans="2:15" x14ac:dyDescent="0.2">
      <c r="B6" t="s">
        <v>126</v>
      </c>
      <c r="C6" s="45" t="s">
        <v>61</v>
      </c>
      <c r="D6" s="46">
        <f>IFERROR('Historical FS'!D18/'Historical FS'!C18-1,0)</f>
        <v>1.1620890382880997</v>
      </c>
      <c r="E6" s="46">
        <f>IFERROR('Historical FS'!E18/'Historical FS'!D18-1,0)</f>
        <v>6.0394625409225577E-2</v>
      </c>
      <c r="F6" s="46">
        <f>IFERROR('Historical FS'!F18/'Historical FS'!E18-1,0)</f>
        <v>-6.3177218056764461E-2</v>
      </c>
      <c r="G6" s="46">
        <f>IFERROR('Historical FS'!G18/'Historical FS'!F18-1,0)</f>
        <v>0.6441450038808525</v>
      </c>
      <c r="H6" s="46">
        <f>IFERROR('Historical FS'!H18/'Historical FS'!G18-1,0)</f>
        <v>0.19472197500290389</v>
      </c>
      <c r="I6" s="46">
        <f>IFERROR('Historical FS'!I18/'Historical FS'!H18-1,0)</f>
        <v>0.11337254495517435</v>
      </c>
      <c r="J6" s="46">
        <f>IFERROR('Historical FS'!J18/'Historical FS'!I18-1,0)</f>
        <v>8.0109147185791763E-2</v>
      </c>
      <c r="K6" s="46">
        <f>IFERROR('Historical FS'!K18/'Historical FS'!J18-1,0)</f>
        <v>0.23034576373440085</v>
      </c>
      <c r="L6" s="46">
        <f>IFERROR('Historical FS'!L18/'Historical FS'!K18-1,0)</f>
        <v>8.5482246836827924E-2</v>
      </c>
      <c r="N6" s="58">
        <f t="shared" ref="N6:N9" si="0">IFERROR(AVERAGE(D6:L6),0)</f>
        <v>0.27860923635961249</v>
      </c>
      <c r="O6" s="58">
        <f t="shared" ref="O6:O9" si="1">IFERROR(MEDIAN(D6:L6),0)</f>
        <v>0.11337254495517435</v>
      </c>
    </row>
    <row r="7" spans="2:15" x14ac:dyDescent="0.2">
      <c r="B7" t="s">
        <v>149</v>
      </c>
      <c r="C7" s="45" t="s">
        <v>61</v>
      </c>
      <c r="D7" s="46">
        <f>IFERROR('Historical FS'!D27/'Historical FS'!C27-1,0)</f>
        <v>3.3379216457419298</v>
      </c>
      <c r="E7" s="46">
        <f>IFERROR('Historical FS'!E27/'Historical FS'!D27-1,0)</f>
        <v>0.18576957946858363</v>
      </c>
      <c r="F7" s="46">
        <f>IFERROR('Historical FS'!F27/'Historical FS'!E27-1,0)</f>
        <v>-0.10180706062254674</v>
      </c>
      <c r="G7" s="46">
        <f>IFERROR('Historical FS'!G27/'Historical FS'!F27-1,0)</f>
        <v>0.5921227102329476</v>
      </c>
      <c r="H7" s="46">
        <f>IFERROR('Historical FS'!H27/'Historical FS'!G27-1,0)</f>
        <v>0.25473482901149724</v>
      </c>
      <c r="I7" s="46">
        <f>IFERROR('Historical FS'!I27/'Historical FS'!H27-1,0)</f>
        <v>0.1210000573615333</v>
      </c>
      <c r="J7" s="46">
        <f>IFERROR('Historical FS'!J27/'Historical FS'!I27-1,0)</f>
        <v>7.1082390953146835E-2</v>
      </c>
      <c r="K7" s="46">
        <f>IFERROR('Historical FS'!K27/'Historical FS'!J27-1,0)</f>
        <v>0.21287442927049227</v>
      </c>
      <c r="L7" s="46">
        <f>IFERROR('Historical FS'!L27/'Historical FS'!K27-1,0)</f>
        <v>-0.106198723792161</v>
      </c>
      <c r="N7" s="58">
        <f t="shared" si="0"/>
        <v>0.50749998418060249</v>
      </c>
      <c r="O7" s="58">
        <f t="shared" si="1"/>
        <v>0.18576957946858363</v>
      </c>
    </row>
    <row r="8" spans="2:15" x14ac:dyDescent="0.2">
      <c r="B8" t="s">
        <v>127</v>
      </c>
      <c r="C8" s="45" t="s">
        <v>61</v>
      </c>
      <c r="D8" s="46">
        <f>IFERROR('Historical FS'!D33/'Historical FS'!C33-1,0)</f>
        <v>-6.5354772090278956</v>
      </c>
      <c r="E8" s="46">
        <f>IFERROR('Historical FS'!E33/'Historical FS'!D33-1,0)</f>
        <v>0.31709526982012215</v>
      </c>
      <c r="F8" s="46">
        <f>IFERROR('Historical FS'!F33/'Historical FS'!E33-1,0)</f>
        <v>-0.29186225315636183</v>
      </c>
      <c r="G8" s="46">
        <f>IFERROR('Historical FS'!G33/'Historical FS'!F33-1,0)</f>
        <v>0.99545701305751821</v>
      </c>
      <c r="H8" s="46">
        <f>IFERROR('Historical FS'!H33/'Historical FS'!G33-1,0)</f>
        <v>0.29305975171466092</v>
      </c>
      <c r="I8" s="46">
        <f>IFERROR('Historical FS'!I33/'Historical FS'!H33-1,0)</f>
        <v>9.7324651739640888E-2</v>
      </c>
      <c r="J8" s="46">
        <f>IFERROR('Historical FS'!J33/'Historical FS'!I33-1,0)</f>
        <v>2.7488773399258593E-2</v>
      </c>
      <c r="K8" s="46">
        <f>IFERROR('Historical FS'!K33/'Historical FS'!J33-1,0)</f>
        <v>0.35771319694752801</v>
      </c>
      <c r="L8" s="46">
        <f>IFERROR('Historical FS'!L33/'Historical FS'!K33-1,0)</f>
        <v>-0.13761474526370687</v>
      </c>
      <c r="N8" s="58">
        <f t="shared" si="0"/>
        <v>-0.54186839452991509</v>
      </c>
      <c r="O8" s="58">
        <f t="shared" si="1"/>
        <v>9.7324651739640888E-2</v>
      </c>
    </row>
    <row r="9" spans="2:15" x14ac:dyDescent="0.2">
      <c r="B9" s="50" t="s">
        <v>128</v>
      </c>
      <c r="C9" s="47" t="s">
        <v>61</v>
      </c>
      <c r="D9" s="48">
        <f>IFERROR('Historical FS'!D41/'Historical FS'!C41-1,0)</f>
        <v>4.4436619718309922E-2</v>
      </c>
      <c r="E9" s="48">
        <f>IFERROR('Historical FS'!E41/'Historical FS'!D41-1,0)</f>
        <v>0</v>
      </c>
      <c r="F9" s="48">
        <f>IFERROR('Historical FS'!F41/'Historical FS'!E41-1,0)</f>
        <v>6.385274088058801E-2</v>
      </c>
      <c r="G9" s="48">
        <f>IFERROR('Historical FS'!G41/'Historical FS'!F41-1,0)</f>
        <v>8.0053545980786511E-2</v>
      </c>
      <c r="H9" s="48">
        <f>IFERROR('Historical FS'!H41/'Historical FS'!G41-1,0)</f>
        <v>0.50002009404010761</v>
      </c>
      <c r="I9" s="48">
        <f>IFERROR('Historical FS'!I41/'Historical FS'!H41-1,0)</f>
        <v>0.49382451440053576</v>
      </c>
      <c r="J9" s="48">
        <f>IFERROR('Historical FS'!J41/'Historical FS'!I41-1,0)</f>
        <v>0.39665749870104428</v>
      </c>
      <c r="K9" s="48">
        <f>IFERROR('Historical FS'!K41/'Historical FS'!J41-1,0)</f>
        <v>-8.2913555388908544E-2</v>
      </c>
      <c r="L9" s="48">
        <f>IFERROR('Historical FS'!L41/'Historical FS'!K41-1,0)</f>
        <v>0.10552260231304689</v>
      </c>
      <c r="M9" s="64"/>
      <c r="N9" s="59">
        <f t="shared" si="0"/>
        <v>0.17793934007172341</v>
      </c>
      <c r="O9" s="59">
        <f t="shared" si="1"/>
        <v>8.0053545980786511E-2</v>
      </c>
    </row>
    <row r="11" spans="2:15" x14ac:dyDescent="0.2">
      <c r="B11" s="49" t="s">
        <v>68</v>
      </c>
      <c r="C11" s="44">
        <f>IFERROR('Historical FS'!C13,0)</f>
        <v>0.29206484101655383</v>
      </c>
      <c r="D11" s="44">
        <f>IFERROR('Historical FS'!D13,0)</f>
        <v>0.30958396943749944</v>
      </c>
      <c r="E11" s="44">
        <f>IFERROR('Historical FS'!E13,0)</f>
        <v>0.29534946847924165</v>
      </c>
      <c r="F11" s="44">
        <f>IFERROR('Historical FS'!F13,0)</f>
        <v>0.29493070399227739</v>
      </c>
      <c r="G11" s="44">
        <f>IFERROR('Historical FS'!G13,0)</f>
        <v>0.31124823863648154</v>
      </c>
      <c r="H11" s="44">
        <f>IFERROR('Historical FS'!H13,0)</f>
        <v>0.2908491014072539</v>
      </c>
      <c r="I11" s="44">
        <f>IFERROR('Historical FS'!I13,0)</f>
        <v>0.30827572941489889</v>
      </c>
      <c r="J11" s="44">
        <f>IFERROR('Historical FS'!J13,0)</f>
        <v>0.29760882119920234</v>
      </c>
      <c r="K11" s="44">
        <f>IFERROR('Historical FS'!K13,0)</f>
        <v>0.31906272914700595</v>
      </c>
      <c r="L11" s="44">
        <f>IFERROR('Historical FS'!L13,0)</f>
        <v>0.31362560519459876</v>
      </c>
      <c r="M11" s="63"/>
      <c r="N11" s="57">
        <f>IFERROR(AVERAGE(C11:L11),0)</f>
        <v>0.30325992079250141</v>
      </c>
      <c r="O11" s="57">
        <f>IFERROR(MEDIAN(C11:L11),0)</f>
        <v>0.30294227530705065</v>
      </c>
    </row>
    <row r="12" spans="2:15" x14ac:dyDescent="0.2">
      <c r="B12" t="s">
        <v>129</v>
      </c>
      <c r="C12" s="46">
        <f>IFERROR('Historical FS'!C19,0)</f>
        <v>5.513565803867683E-2</v>
      </c>
      <c r="D12" s="46">
        <f>IFERROR('Historical FS'!D19,0)</f>
        <v>0.11669358585746829</v>
      </c>
      <c r="E12" s="46">
        <f>IFERROR('Historical FS'!E19,0)</f>
        <v>0.12309125723550512</v>
      </c>
      <c r="F12" s="46">
        <f>IFERROR('Historical FS'!F19,0)</f>
        <v>0.10837895607805277</v>
      </c>
      <c r="G12" s="46">
        <f>IFERROR('Historical FS'!G19,0)</f>
        <v>0.13407633993330165</v>
      </c>
      <c r="H12" s="46">
        <f>IFERROR('Historical FS'!H19,0)</f>
        <v>0.13305947321287759</v>
      </c>
      <c r="I12" s="46">
        <f>IFERROR('Historical FS'!I19,0)</f>
        <v>0.1383282751338594</v>
      </c>
      <c r="J12" s="46">
        <f>IFERROR('Historical FS'!J19,0)</f>
        <v>0.13469117386724075</v>
      </c>
      <c r="K12" s="46">
        <f>IFERROR('Historical FS'!K19,0)</f>
        <v>0.15021192501570124</v>
      </c>
      <c r="L12" s="46">
        <f>IFERROR('Historical FS'!L19,0)</f>
        <v>0.14072583620440107</v>
      </c>
      <c r="N12" s="58">
        <f t="shared" ref="N12:N40" si="2">IFERROR(AVERAGE(C12:L12),0)</f>
        <v>0.12343924805770845</v>
      </c>
      <c r="O12" s="58">
        <f t="shared" ref="O12:O40" si="3">IFERROR(MEDIAN(C12:L12),0)</f>
        <v>0.13356790657308962</v>
      </c>
    </row>
    <row r="13" spans="2:15" x14ac:dyDescent="0.2">
      <c r="B13" t="s">
        <v>130</v>
      </c>
      <c r="C13" s="46">
        <f>IFERROR(SUM('Historical FS'!C18+'Historical FS'!C24)/'Historical FS'!C6,0)</f>
        <v>3.7537632561545665E-2</v>
      </c>
      <c r="D13" s="46">
        <f>IFERROR(SUM('Historical FS'!D18+'Historical FS'!D24)/'Historical FS'!D6,0)</f>
        <v>9.8102381426495744E-2</v>
      </c>
      <c r="E13" s="46">
        <f>IFERROR(SUM('Historical FS'!E18+'Historical FS'!E24)/'Historical FS'!E6,0)</f>
        <v>0.10606498565737635</v>
      </c>
      <c r="F13" s="46">
        <f>IFERROR(SUM('Historical FS'!F18+'Historical FS'!F24)/'Historical FS'!F6,0)</f>
        <v>9.1476246293870189E-2</v>
      </c>
      <c r="G13" s="46">
        <f>IFERROR(SUM('Historical FS'!G18+'Historical FS'!G24)/'Historical FS'!G6,0)</f>
        <v>0.10899597610148774</v>
      </c>
      <c r="H13" s="46">
        <f>IFERROR(SUM('Historical FS'!H18+'Historical FS'!H24)/'Historical FS'!H6,0)</f>
        <v>0.11110297077321832</v>
      </c>
      <c r="I13" s="46">
        <f>IFERROR(SUM('Historical FS'!I18+'Historical FS'!I24)/'Historical FS'!I6,0)</f>
        <v>0.11595389111149225</v>
      </c>
      <c r="J13" s="46">
        <f>IFERROR(SUM('Historical FS'!J18+'Historical FS'!J24)/'Historical FS'!J6,0)</f>
        <v>0.11262946958462342</v>
      </c>
      <c r="K13" s="46">
        <f>IFERROR(SUM('Historical FS'!K18+'Historical FS'!K24)/'Historical FS'!K6,0)</f>
        <v>0.12540897088949324</v>
      </c>
      <c r="L13" s="46">
        <f>IFERROR(SUM('Historical FS'!L18+'Historical FS'!L24)/'Historical FS'!L6,0)</f>
        <v>0.10662833531044423</v>
      </c>
      <c r="N13" s="58">
        <f t="shared" si="2"/>
        <v>0.1013900859710047</v>
      </c>
      <c r="O13" s="58">
        <f t="shared" si="3"/>
        <v>0.10781215570596599</v>
      </c>
    </row>
    <row r="14" spans="2:15" x14ac:dyDescent="0.2">
      <c r="B14" t="s">
        <v>131</v>
      </c>
      <c r="C14" s="46">
        <f>IFERROR('Historical FS'!C28,0)</f>
        <v>1.9923032182432458E-2</v>
      </c>
      <c r="D14" s="46">
        <f>IFERROR('Historical FS'!D28,0)</f>
        <v>8.4601485349322478E-2</v>
      </c>
      <c r="E14" s="46">
        <f>IFERROR('Historical FS'!E28,0)</f>
        <v>9.9790913159265457E-2</v>
      </c>
      <c r="F14" s="46">
        <f>IFERROR('Historical FS'!F28,0)</f>
        <v>8.4240501965110626E-2</v>
      </c>
      <c r="G14" s="46">
        <f>IFERROR('Historical FS'!G28,0)</f>
        <v>0.10091705041390747</v>
      </c>
      <c r="H14" s="46">
        <f>IFERROR('Historical FS'!H28,0)</f>
        <v>0.10518245513931632</v>
      </c>
      <c r="I14" s="46">
        <f>IFERROR('Historical FS'!I28,0)</f>
        <v>0.11009652026458788</v>
      </c>
      <c r="J14" s="46">
        <f>IFERROR('Historical FS'!J28,0)</f>
        <v>0.10630581085904814</v>
      </c>
      <c r="K14" s="46">
        <f>IFERROR('Historical FS'!K28,0)</f>
        <v>0.11687212487299301</v>
      </c>
      <c r="L14" s="46">
        <f>IFERROR('Historical FS'!L28,0)</f>
        <v>9.0156825573409455E-2</v>
      </c>
      <c r="N14" s="58">
        <f t="shared" si="2"/>
        <v>9.1808671977939321E-2</v>
      </c>
      <c r="O14" s="58">
        <f t="shared" si="3"/>
        <v>0.10035398178658647</v>
      </c>
    </row>
    <row r="15" spans="2:15" x14ac:dyDescent="0.2">
      <c r="B15" s="50" t="s">
        <v>132</v>
      </c>
      <c r="C15" s="48">
        <f>IFERROR('Historical FS'!C34,0)</f>
        <v>-1.02146600487603E-2</v>
      </c>
      <c r="D15" s="48">
        <f>IFERROR('Historical FS'!D34,0)</f>
        <v>5.5350281360857172E-2</v>
      </c>
      <c r="E15" s="48">
        <f>IFERROR('Historical FS'!E34,0)</f>
        <v>7.2518652747107615E-2</v>
      </c>
      <c r="F15" s="48">
        <f>IFERROR('Historical FS'!F34,0)</f>
        <v>4.8264497000620514E-2</v>
      </c>
      <c r="G15" s="48">
        <f>IFERROR('Historical FS'!G34,0)</f>
        <v>7.2466489994210084E-2</v>
      </c>
      <c r="H15" s="48">
        <f>IFERROR('Historical FS'!H34,0)</f>
        <v>7.7836378633739281E-2</v>
      </c>
      <c r="I15" s="48">
        <f>IFERROR('Historical FS'!I34,0)</f>
        <v>7.975215224979236E-2</v>
      </c>
      <c r="J15" s="48">
        <f>IFERROR('Historical FS'!J34,0)</f>
        <v>7.3872029345955353E-2</v>
      </c>
      <c r="K15" s="48">
        <f>IFERROR('Historical FS'!K34,0)</f>
        <v>9.0913036758879032E-2</v>
      </c>
      <c r="L15" s="48">
        <f>IFERROR('Historical FS'!L34,0)</f>
        <v>6.7666573960030174E-2</v>
      </c>
      <c r="M15" s="64"/>
      <c r="N15" s="59">
        <f t="shared" si="2"/>
        <v>6.2842543200243128E-2</v>
      </c>
      <c r="O15" s="59">
        <f t="shared" si="3"/>
        <v>7.2492571370658843E-2</v>
      </c>
    </row>
    <row r="16" spans="2:15" x14ac:dyDescent="0.2">
      <c r="C16" s="42"/>
      <c r="D16" s="42"/>
      <c r="E16" s="42"/>
      <c r="F16" s="42"/>
      <c r="G16" s="42"/>
      <c r="H16" s="42"/>
      <c r="I16" s="42"/>
      <c r="J16" s="42"/>
      <c r="K16" s="42"/>
      <c r="L16" s="42"/>
    </row>
    <row r="17" spans="2:15" x14ac:dyDescent="0.2">
      <c r="B17" s="49" t="s">
        <v>133</v>
      </c>
      <c r="C17" s="44">
        <f>IFERROR('Historical FS'!C16,0)</f>
        <v>0.23692918297787702</v>
      </c>
      <c r="D17" s="44">
        <f>IFERROR('Historical FS'!D16,0)</f>
        <v>0.19289038358003113</v>
      </c>
      <c r="E17" s="44">
        <f>IFERROR('Historical FS'!E16,0)</f>
        <v>0.17225821124373655</v>
      </c>
      <c r="F17" s="44">
        <f>IFERROR('Historical FS'!F16,0)</f>
        <v>0.18655174791422463</v>
      </c>
      <c r="G17" s="44">
        <f>IFERROR('Historical FS'!G16,0)</f>
        <v>0.1771718987031799</v>
      </c>
      <c r="H17" s="44">
        <f>IFERROR('Historical FS'!H16,0)</f>
        <v>0.15778962819437634</v>
      </c>
      <c r="I17" s="44">
        <f>IFERROR('Historical FS'!I16,0)</f>
        <v>0.1699474542810395</v>
      </c>
      <c r="J17" s="44">
        <f>IFERROR('Historical FS'!J16,0)</f>
        <v>0.16291764733196162</v>
      </c>
      <c r="K17" s="44">
        <f>IFERROR('Historical FS'!K16,0)</f>
        <v>0.16885080413130471</v>
      </c>
      <c r="L17" s="44">
        <f>IFERROR('Historical FS'!L16,0)</f>
        <v>0.17289976899019768</v>
      </c>
      <c r="M17" s="63"/>
      <c r="N17" s="57">
        <f t="shared" si="2"/>
        <v>0.17982067273479288</v>
      </c>
      <c r="O17" s="57">
        <f t="shared" si="3"/>
        <v>0.17257899011696712</v>
      </c>
    </row>
    <row r="18" spans="2:15" x14ac:dyDescent="0.2">
      <c r="B18" t="s">
        <v>134</v>
      </c>
      <c r="C18" s="46">
        <f>IFERROR('Historical FS'!C25,0)</f>
        <v>1.7598025477131157E-2</v>
      </c>
      <c r="D18" s="46">
        <f>IFERROR('Historical FS'!D25,0)</f>
        <v>1.8591204430972556E-2</v>
      </c>
      <c r="E18" s="46">
        <f>IFERROR('Historical FS'!E25,0)</f>
        <v>1.7026271578128784E-2</v>
      </c>
      <c r="F18" s="46">
        <f>IFERROR('Historical FS'!F25,0)</f>
        <v>1.6902709784182582E-2</v>
      </c>
      <c r="G18" s="46">
        <f>IFERROR('Historical FS'!G25,0)</f>
        <v>2.5080363831813911E-2</v>
      </c>
      <c r="H18" s="46">
        <f>IFERROR('Historical FS'!H25,0)</f>
        <v>2.1956502439659267E-2</v>
      </c>
      <c r="I18" s="46">
        <f>IFERROR('Historical FS'!I25,0)</f>
        <v>2.237438402236714E-2</v>
      </c>
      <c r="J18" s="46">
        <f>IFERROR('Historical FS'!J25,0)</f>
        <v>2.2061704282617337E-2</v>
      </c>
      <c r="K18" s="46">
        <f>IFERROR('Historical FS'!K25,0)</f>
        <v>2.4802954126208004E-2</v>
      </c>
      <c r="L18" s="46">
        <f>IFERROR('Historical FS'!L25,0)</f>
        <v>3.4097500893956856E-2</v>
      </c>
      <c r="N18" s="58">
        <f t="shared" si="2"/>
        <v>2.2049162086703759E-2</v>
      </c>
      <c r="O18" s="58">
        <f t="shared" si="3"/>
        <v>2.2009103361138302E-2</v>
      </c>
    </row>
    <row r="19" spans="2:15" x14ac:dyDescent="0.2">
      <c r="B19" s="50" t="s">
        <v>135</v>
      </c>
      <c r="C19" s="48">
        <f>C13</f>
        <v>3.7537632561545665E-2</v>
      </c>
      <c r="D19" s="48">
        <f t="shared" ref="D19:L19" si="4">D13</f>
        <v>9.8102381426495744E-2</v>
      </c>
      <c r="E19" s="48">
        <f t="shared" si="4"/>
        <v>0.10606498565737635</v>
      </c>
      <c r="F19" s="48">
        <f t="shared" si="4"/>
        <v>9.1476246293870189E-2</v>
      </c>
      <c r="G19" s="48">
        <f t="shared" si="4"/>
        <v>0.10899597610148774</v>
      </c>
      <c r="H19" s="48">
        <f t="shared" si="4"/>
        <v>0.11110297077321832</v>
      </c>
      <c r="I19" s="48">
        <f t="shared" si="4"/>
        <v>0.11595389111149225</v>
      </c>
      <c r="J19" s="48">
        <f t="shared" si="4"/>
        <v>0.11262946958462342</v>
      </c>
      <c r="K19" s="48">
        <f t="shared" si="4"/>
        <v>0.12540897088949324</v>
      </c>
      <c r="L19" s="48">
        <f t="shared" si="4"/>
        <v>0.10662833531044423</v>
      </c>
      <c r="M19" s="64"/>
      <c r="N19" s="59">
        <f t="shared" si="2"/>
        <v>0.1013900859710047</v>
      </c>
      <c r="O19" s="59">
        <f t="shared" si="3"/>
        <v>0.10781215570596599</v>
      </c>
    </row>
    <row r="20" spans="2:15" x14ac:dyDescent="0.2">
      <c r="O20" s="16"/>
    </row>
    <row r="21" spans="2:15" x14ac:dyDescent="0.2">
      <c r="B21" s="49" t="s">
        <v>136</v>
      </c>
      <c r="C21" s="44">
        <f>IFERROR(('Historical FS'!C18+'Historical FS'!C24)/(SUM('Historical FS'!C48:C50)),0)</f>
        <v>3.2773686329299806E-2</v>
      </c>
      <c r="D21" s="44">
        <f>IFERROR(('Historical FS'!D18+'Historical FS'!D24)/(SUM('Historical FS'!D48:D50)),0)</f>
        <v>9.4311449420452928E-2</v>
      </c>
      <c r="E21" s="44">
        <f>IFERROR(('Historical FS'!E18+'Historical FS'!E24)/(SUM('Historical FS'!E48:E50)),0)</f>
        <v>8.9252245289029253E-2</v>
      </c>
      <c r="F21" s="44">
        <f>IFERROR(('Historical FS'!F18+'Historical FS'!F24)/(SUM('Historical FS'!F48:F50)),0)</f>
        <v>7.8290622097325652E-2</v>
      </c>
      <c r="G21" s="44">
        <f>IFERROR(('Historical FS'!G18+'Historical FS'!G24)/(SUM('Historical FS'!G48:G50)),0)</f>
        <v>6.8205163500459062E-2</v>
      </c>
      <c r="H21" s="44">
        <f>IFERROR(('Historical FS'!H18+'Historical FS'!H24)/(SUM('Historical FS'!H48:H50)),0)</f>
        <v>7.9726324617795968E-2</v>
      </c>
      <c r="I21" s="44">
        <f>IFERROR(('Historical FS'!I18+'Historical FS'!I24)/(SUM('Historical FS'!I48:I50)),0)</f>
        <v>8.7034816463744447E-2</v>
      </c>
      <c r="J21" s="44">
        <f>IFERROR(('Historical FS'!J18+'Historical FS'!J24)/(SUM('Historical FS'!J48:J50)),0)</f>
        <v>8.6838491336512405E-2</v>
      </c>
      <c r="K21" s="44">
        <f>IFERROR(('Historical FS'!K18+'Historical FS'!K24)/(SUM('Historical FS'!K48:K50)),0)</f>
        <v>9.7622044833600499E-2</v>
      </c>
      <c r="L21" s="44">
        <f>IFERROR(('Historical FS'!L18+'Historical FS'!L24)/(SUM('Historical FS'!L48:L50)),0)</f>
        <v>8.3889887182858044E-2</v>
      </c>
      <c r="M21" s="63"/>
      <c r="N21" s="57">
        <f t="shared" si="2"/>
        <v>7.9794473107107813E-2</v>
      </c>
      <c r="O21" s="57">
        <f t="shared" si="3"/>
        <v>8.5364189259685225E-2</v>
      </c>
    </row>
    <row r="22" spans="2:15" x14ac:dyDescent="0.2">
      <c r="B22" t="s">
        <v>137</v>
      </c>
      <c r="C22" s="46">
        <f>IFERROR('Historical FS'!C44,0)</f>
        <v>0</v>
      </c>
      <c r="D22" s="46">
        <f>IFERROR('Historical FS'!D44,0)</f>
        <v>0.60477015323117844</v>
      </c>
      <c r="E22" s="46">
        <f>IFERROR('Historical FS'!E44,0)</f>
        <v>0.69992311427646481</v>
      </c>
      <c r="F22" s="46">
        <f>IFERROR('Historical FS'!F44,0)</f>
        <v>0.54918711963198907</v>
      </c>
      <c r="G22" s="46">
        <f>IFERROR('Historical FS'!G44,0)</f>
        <v>0.64370910236400869</v>
      </c>
      <c r="H22" s="46">
        <f>IFERROR('Historical FS'!H44,0)</f>
        <v>0.58668305538945464</v>
      </c>
      <c r="I22" s="46">
        <f>IFERROR('Historical FS'!I44,0)</f>
        <v>0.43733790806801698</v>
      </c>
      <c r="J22" s="46">
        <f>IFERROR('Historical FS'!J44,0)</f>
        <v>0.22902405248529101</v>
      </c>
      <c r="K22" s="46">
        <f>IFERROR('Historical FS'!K44,0)</f>
        <v>0.46584587785099973</v>
      </c>
      <c r="L22" s="46">
        <f>IFERROR('Historical FS'!L44,0)</f>
        <v>0.31524866420057529</v>
      </c>
      <c r="N22" s="58">
        <f t="shared" si="2"/>
        <v>0.45317290474979782</v>
      </c>
      <c r="O22" s="58">
        <f t="shared" si="3"/>
        <v>0.5075164987414944</v>
      </c>
    </row>
    <row r="23" spans="2:15" x14ac:dyDescent="0.2">
      <c r="B23" t="s">
        <v>138</v>
      </c>
      <c r="C23" s="46">
        <f>IFERROR(('Historical FS'!C33)/SUM('Historical FS'!C48:C49),0)</f>
        <v>-1.0851313474741312E-2</v>
      </c>
      <c r="D23" s="46">
        <f>IFERROR(('Historical FS'!D33)/SUM('Historical FS'!D48:D49),0)</f>
        <v>5.9891469156491781E-2</v>
      </c>
      <c r="E23" s="46">
        <f>IFERROR(('Historical FS'!E33)/SUM('Historical FS'!E48:E49),0)</f>
        <v>7.0288412310142781E-2</v>
      </c>
      <c r="F23" s="46">
        <f>IFERROR(('Historical FS'!F33)/SUM('Historical FS'!F48:F49),0)</f>
        <v>4.7736606430440962E-2</v>
      </c>
      <c r="G23" s="46">
        <f>IFERROR(('Historical FS'!G33)/SUM('Historical FS'!G48:G49),0)</f>
        <v>5.0553534382541704E-2</v>
      </c>
      <c r="H23" s="46">
        <f>IFERROR(('Historical FS'!H33)/SUM('Historical FS'!H48:H49),0)</f>
        <v>6.2132125541212065E-2</v>
      </c>
      <c r="I23" s="46">
        <f>IFERROR(('Historical FS'!I33)/SUM('Historical FS'!I48:I49),0)</f>
        <v>6.5444058026910848E-2</v>
      </c>
      <c r="J23" s="46">
        <f>IFERROR(('Historical FS'!J33)/SUM('Historical FS'!J48:J49),0)</f>
        <v>6.2555024940543769E-2</v>
      </c>
      <c r="K23" s="46">
        <f>IFERROR(('Historical FS'!K33)/SUM('Historical FS'!K48:K49),0)</f>
        <v>8.6095041412386955E-2</v>
      </c>
      <c r="L23" s="46">
        <f>IFERROR(('Historical FS'!L33)/SUM('Historical FS'!L48:L49),0)</f>
        <v>5.9605281314808974E-2</v>
      </c>
      <c r="N23" s="58">
        <f t="shared" si="2"/>
        <v>5.5345024004073852E-2</v>
      </c>
      <c r="O23" s="58">
        <f t="shared" si="3"/>
        <v>6.1011797348851926E-2</v>
      </c>
    </row>
    <row r="24" spans="2:15" x14ac:dyDescent="0.2">
      <c r="B24" t="s">
        <v>139</v>
      </c>
      <c r="C24" s="46">
        <f>IFERROR((C22*C23),0)</f>
        <v>0</v>
      </c>
      <c r="D24" s="46">
        <f t="shared" ref="D24:L24" si="5">IFERROR((D22*D23),0)</f>
        <v>3.6220572979011934E-2</v>
      </c>
      <c r="E24" s="46">
        <f t="shared" si="5"/>
        <v>4.9196484441663343E-2</v>
      </c>
      <c r="F24" s="46">
        <f t="shared" si="5"/>
        <v>2.6216329386539759E-2</v>
      </c>
      <c r="G24" s="46">
        <f t="shared" si="5"/>
        <v>3.254177023871397E-2</v>
      </c>
      <c r="H24" s="46">
        <f t="shared" si="5"/>
        <v>3.6451865250359469E-2</v>
      </c>
      <c r="I24" s="46">
        <f t="shared" si="5"/>
        <v>2.8621167432971106E-2</v>
      </c>
      <c r="J24" s="46">
        <f t="shared" si="5"/>
        <v>1.4326605315201784E-2</v>
      </c>
      <c r="K24" s="46">
        <f t="shared" si="5"/>
        <v>4.0107020145371576E-2</v>
      </c>
      <c r="L24" s="46">
        <f t="shared" si="5"/>
        <v>1.8790485313793039E-2</v>
      </c>
      <c r="N24" s="58">
        <f t="shared" si="2"/>
        <v>2.8247230050362594E-2</v>
      </c>
      <c r="O24" s="58">
        <f t="shared" si="3"/>
        <v>3.0581468835842538E-2</v>
      </c>
    </row>
    <row r="25" spans="2:15" x14ac:dyDescent="0.2">
      <c r="B25" s="50" t="s">
        <v>140</v>
      </c>
      <c r="C25" s="51">
        <f>IFERROR((SUM('Historical FS'!C18,'Historical FS'!C24)/-'Historical FS'!C21),0)</f>
        <v>2.1310521813515848</v>
      </c>
      <c r="D25" s="51">
        <f>IFERROR((SUM('Historical FS'!D18,'Historical FS'!D24)/-'Historical FS'!D21),0)</f>
        <v>7.2663607560362635</v>
      </c>
      <c r="E25" s="51">
        <f>IFERROR((SUM('Historical FS'!E18,'Historical FS'!E24)/-'Historical FS'!E21),0)</f>
        <v>16.905285313376986</v>
      </c>
      <c r="F25" s="51">
        <f>IFERROR((SUM('Historical FS'!F18,'Historical FS'!F24)/-'Historical FS'!F21),0)</f>
        <v>12.64227177434724</v>
      </c>
      <c r="G25" s="51">
        <f>IFERROR((SUM('Historical FS'!G18,'Historical FS'!G24)/-'Historical FS'!G21),0)</f>
        <v>13.491394811199589</v>
      </c>
      <c r="H25" s="51">
        <f>IFERROR((SUM('Historical FS'!H18,'Historical FS'!H24)/-'Historical FS'!H21),0)</f>
        <v>18.765759208036137</v>
      </c>
      <c r="I25" s="51">
        <f>IFERROR((SUM('Historical FS'!I18,'Historical FS'!I24)/-'Historical FS'!I21),0)</f>
        <v>19.796235229458677</v>
      </c>
      <c r="J25" s="51">
        <f>IFERROR((SUM('Historical FS'!J18,'Historical FS'!J24)/-'Historical FS'!J21),0)</f>
        <v>17.810807709958674</v>
      </c>
      <c r="K25" s="51">
        <f>IFERROR((SUM('Historical FS'!K18,'Historical FS'!K24)/-'Historical FS'!K21),0)</f>
        <v>14.690316616593488</v>
      </c>
      <c r="L25" s="51">
        <f>IFERROR((SUM('Historical FS'!L18,'Historical FS'!L24)/-'Historical FS'!L21),0)</f>
        <v>6.4735010337698125</v>
      </c>
      <c r="M25" s="64"/>
      <c r="N25" s="59">
        <f t="shared" si="2"/>
        <v>12.997298463412847</v>
      </c>
      <c r="O25" s="59">
        <f t="shared" si="3"/>
        <v>14.090855713896538</v>
      </c>
    </row>
    <row r="26" spans="2:15" x14ac:dyDescent="0.2">
      <c r="O26" s="16"/>
    </row>
    <row r="27" spans="2:15" x14ac:dyDescent="0.2">
      <c r="B27" s="49" t="s">
        <v>150</v>
      </c>
      <c r="C27" s="52">
        <f>IFERROR('Historical FS'!C6/'Historical FS'!C60,0)</f>
        <v>11.202234863190588</v>
      </c>
      <c r="D27" s="52">
        <f>IFERROR('Historical FS'!D6/'Historical FS'!D60,0)</f>
        <v>11.443244155624948</v>
      </c>
      <c r="E27" s="52">
        <f>IFERROR('Historical FS'!E6/'Historical FS'!E60,0)</f>
        <v>10.512972789535388</v>
      </c>
      <c r="F27" s="52">
        <f>IFERROR('Historical FS'!F6/'Historical FS'!F60,0)</f>
        <v>10.655352288590112</v>
      </c>
      <c r="G27" s="52">
        <f>IFERROR('Historical FS'!G6/'Historical FS'!G60,0)</f>
        <v>10.448087076245921</v>
      </c>
      <c r="H27" s="52">
        <f>IFERROR('Historical FS'!H6/'Historical FS'!H60,0)</f>
        <v>15.239360584248411</v>
      </c>
      <c r="I27" s="52">
        <f>IFERROR('Historical FS'!I6/'Historical FS'!I60,0)</f>
        <v>14.878009938334433</v>
      </c>
      <c r="J27" s="52">
        <f>IFERROR('Historical FS'!J6/'Historical FS'!J60,0)</f>
        <v>17.26499066801949</v>
      </c>
      <c r="K27" s="52">
        <f>IFERROR('Historical FS'!K6/'Historical FS'!K60,0)</f>
        <v>16.95662113186507</v>
      </c>
      <c r="L27" s="52">
        <f>IFERROR('Historical FS'!L6/'Historical FS'!L60,0)</f>
        <v>20.255808873406224</v>
      </c>
      <c r="M27" s="63"/>
      <c r="N27" s="52">
        <f t="shared" si="2"/>
        <v>13.88566823690606</v>
      </c>
      <c r="O27" s="52">
        <f t="shared" si="3"/>
        <v>13.160627046979691</v>
      </c>
    </row>
    <row r="28" spans="2:15" x14ac:dyDescent="0.2">
      <c r="B28" t="s">
        <v>141</v>
      </c>
      <c r="C28" s="53">
        <f>IFERROR('Historical FS'!C6/'Historical FS'!C51,0)</f>
        <v>2.8935793576741631</v>
      </c>
      <c r="D28" s="53">
        <f>IFERROR('Historical FS'!D6/'Historical FS'!D51,0)</f>
        <v>2.7125252565667077</v>
      </c>
      <c r="E28" s="53">
        <f>IFERROR('Historical FS'!E6/'Historical FS'!E51,0)</f>
        <v>2.8859280651089527</v>
      </c>
      <c r="F28" s="53">
        <f>IFERROR('Historical FS'!F6/'Historical FS'!F51,0)</f>
        <v>3.011557836944379</v>
      </c>
      <c r="G28" s="53">
        <f>IFERROR('Historical FS'!G6/'Historical FS'!G51,0)</f>
        <v>3.1373239665870187</v>
      </c>
      <c r="H28" s="53">
        <f>IFERROR('Historical FS'!H6/'Historical FS'!H51,0)</f>
        <v>2.864868535419383</v>
      </c>
      <c r="I28" s="53">
        <f>IFERROR('Historical FS'!I6/'Historical FS'!I51,0)</f>
        <v>2.748416251559417</v>
      </c>
      <c r="J28" s="53">
        <f>IFERROR('Historical FS'!J6/'Historical FS'!J51,0)</f>
        <v>2.8210997719895041</v>
      </c>
      <c r="K28" s="53">
        <f>IFERROR('Historical FS'!K6/'Historical FS'!K51,0)</f>
        <v>1.8221990274159414</v>
      </c>
      <c r="L28" s="53">
        <f>IFERROR('Historical FS'!L6/'Historical FS'!L51,0)</f>
        <v>1.8669663426182013</v>
      </c>
      <c r="N28" s="53">
        <f t="shared" si="2"/>
        <v>2.6764464411883671</v>
      </c>
      <c r="O28" s="53">
        <f t="shared" si="3"/>
        <v>2.8429841537044434</v>
      </c>
    </row>
    <row r="29" spans="2:15" x14ac:dyDescent="0.2">
      <c r="B29" t="s">
        <v>142</v>
      </c>
      <c r="C29" s="53">
        <f>IFERROR('Historical FS'!C6/'Historical FS'!C61,0)</f>
        <v>4.0739713077267785</v>
      </c>
      <c r="D29" s="53">
        <f>IFERROR('Historical FS'!D6/'Historical FS'!D61,0)</f>
        <v>4.6660265939874463</v>
      </c>
      <c r="E29" s="53">
        <f>IFERROR('Historical FS'!E6/'Historical FS'!E61,0)</f>
        <v>4.7057259840779944</v>
      </c>
      <c r="F29" s="53">
        <f>IFERROR('Historical FS'!F6/'Historical FS'!F61,0)</f>
        <v>4.5081253807800863</v>
      </c>
      <c r="G29" s="53">
        <f>IFERROR('Historical FS'!G6/'Historical FS'!G61,0)</f>
        <v>5.629235469004632</v>
      </c>
      <c r="H29" s="53">
        <f>IFERROR('Historical FS'!H6/'Historical FS'!H61,0)</f>
        <v>5.1583835743121886</v>
      </c>
      <c r="I29" s="53">
        <f>IFERROR('Historical FS'!I6/'Historical FS'!I61,0)</f>
        <v>5.4821597963388644</v>
      </c>
      <c r="J29" s="53">
        <f>IFERROR('Historical FS'!J6/'Historical FS'!J61,0)</f>
        <v>5.1017185666643226</v>
      </c>
      <c r="K29" s="53">
        <f>IFERROR('Historical FS'!K6/'Historical FS'!K61,0)</f>
        <v>5.4907649809522097</v>
      </c>
      <c r="L29" s="53">
        <f>IFERROR('Historical FS'!L6/'Historical FS'!L61,0)</f>
        <v>4.8940945745865871</v>
      </c>
      <c r="N29" s="53">
        <f t="shared" si="2"/>
        <v>4.9710206228431115</v>
      </c>
      <c r="O29" s="53">
        <f t="shared" si="3"/>
        <v>4.9979065706254548</v>
      </c>
    </row>
    <row r="30" spans="2:15" x14ac:dyDescent="0.2">
      <c r="B30" t="s">
        <v>143</v>
      </c>
      <c r="C30" s="53">
        <f>IFERROR('Historical FS'!C6/'Historical FS'!C54,0)</f>
        <v>1.4236003260543137</v>
      </c>
      <c r="D30" s="53">
        <f>IFERROR('Historical FS'!D6/'Historical FS'!D54,0)</f>
        <v>1.4826498767656842</v>
      </c>
      <c r="E30" s="53">
        <f>IFERROR('Historical FS'!E6/'Historical FS'!E54,0)</f>
        <v>1.4204031528621268</v>
      </c>
      <c r="F30" s="53">
        <f>IFERROR('Historical FS'!F6/'Historical FS'!F54,0)</f>
        <v>1.4758889628376797</v>
      </c>
      <c r="G30" s="53">
        <f>IFERROR('Historical FS'!G6/'Historical FS'!G54,0)</f>
        <v>0.82681768422208568</v>
      </c>
      <c r="H30" s="53">
        <f>IFERROR('Historical FS'!H6/'Historical FS'!H54,0)</f>
        <v>0.96497584239711298</v>
      </c>
      <c r="I30" s="53">
        <f>IFERROR('Historical FS'!I6/'Historical FS'!I54,0)</f>
        <v>0.98619135114113032</v>
      </c>
      <c r="J30" s="53">
        <f>IFERROR('Historical FS'!J6/'Historical FS'!J54,0)</f>
        <v>1.0545614244485861</v>
      </c>
      <c r="K30" s="53">
        <f>IFERROR('Historical FS'!K6/'Historical FS'!K54,0)</f>
        <v>0.78551134162280001</v>
      </c>
      <c r="L30" s="53">
        <f>IFERROR('Historical FS'!L6/'Historical FS'!L54,0)</f>
        <v>0.82033949128456507</v>
      </c>
      <c r="N30" s="53">
        <f t="shared" si="2"/>
        <v>1.1240939453636085</v>
      </c>
      <c r="O30" s="53">
        <f t="shared" si="3"/>
        <v>1.0203763877948582</v>
      </c>
    </row>
    <row r="31" spans="2:15" x14ac:dyDescent="0.2">
      <c r="B31" s="50" t="s">
        <v>144</v>
      </c>
      <c r="C31" s="51">
        <f>IFERROR('Historical FS'!C6/SUM('Historical FS'!C48:C49),0)</f>
        <v>1.0623274218566165</v>
      </c>
      <c r="D31" s="51">
        <f>IFERROR('Historical FS'!D6/SUM('Historical FS'!D48:D49),0)</f>
        <v>1.0820445295666747</v>
      </c>
      <c r="E31" s="51">
        <f>IFERROR('Historical FS'!E6/SUM('Historical FS'!E48:E49),0)</f>
        <v>0.96924597531145129</v>
      </c>
      <c r="F31" s="51">
        <f>IFERROR('Historical FS'!F6/SUM('Historical FS'!F48:F49),0)</f>
        <v>0.98906254901666601</v>
      </c>
      <c r="G31" s="51">
        <f>IFERROR('Historical FS'!G6/SUM('Historical FS'!G48:G49),0)</f>
        <v>0.69761257081143058</v>
      </c>
      <c r="H31" s="51">
        <f>IFERROR('Historical FS'!H6/SUM('Historical FS'!H48:H49),0)</f>
        <v>0.79824018835172295</v>
      </c>
      <c r="I31" s="51">
        <f>IFERROR('Historical FS'!I6/SUM('Historical FS'!I48:I49),0)</f>
        <v>0.82059300195351459</v>
      </c>
      <c r="J31" s="51">
        <f>IFERROR('Historical FS'!J6/SUM('Historical FS'!J48:J49),0)</f>
        <v>0.84680257865379427</v>
      </c>
      <c r="K31" s="51">
        <f>IFERROR('Historical FS'!K6/SUM('Historical FS'!K48:K49),0)</f>
        <v>0.94700435143014261</v>
      </c>
      <c r="L31" s="51">
        <f>IFERROR('Historical FS'!L6/SUM('Historical FS'!L48:L49),0)</f>
        <v>0.88086743315860927</v>
      </c>
      <c r="M31" s="64"/>
      <c r="N31" s="51">
        <f t="shared" si="2"/>
        <v>0.90938006001106242</v>
      </c>
      <c r="O31" s="51">
        <f t="shared" si="3"/>
        <v>0.91393589229437588</v>
      </c>
    </row>
    <row r="33" spans="2:15" x14ac:dyDescent="0.2">
      <c r="B33" s="49" t="s">
        <v>153</v>
      </c>
      <c r="C33" s="54">
        <f>IFERROR(365/C27,0)</f>
        <v>32.582784101354015</v>
      </c>
      <c r="D33" s="54">
        <f t="shared" ref="D33:L33" si="6">IFERROR(365/D27,0)</f>
        <v>31.896549180992839</v>
      </c>
      <c r="E33" s="54">
        <f t="shared" si="6"/>
        <v>34.719009295193935</v>
      </c>
      <c r="F33" s="54">
        <f t="shared" si="6"/>
        <v>34.255085154795552</v>
      </c>
      <c r="G33" s="54">
        <f t="shared" si="6"/>
        <v>34.934624619452094</v>
      </c>
      <c r="H33" s="54">
        <f t="shared" si="6"/>
        <v>23.951136137382854</v>
      </c>
      <c r="I33" s="54">
        <f t="shared" si="6"/>
        <v>24.532850933211645</v>
      </c>
      <c r="J33" s="54">
        <f t="shared" si="6"/>
        <v>21.141048206652176</v>
      </c>
      <c r="K33" s="54">
        <f t="shared" si="6"/>
        <v>21.525514851192138</v>
      </c>
      <c r="L33" s="54">
        <f t="shared" si="6"/>
        <v>18.019522314865792</v>
      </c>
      <c r="M33" s="63"/>
      <c r="N33" s="54">
        <f t="shared" si="2"/>
        <v>27.755812479509309</v>
      </c>
      <c r="O33" s="54">
        <f t="shared" si="3"/>
        <v>28.214700057102242</v>
      </c>
    </row>
    <row r="34" spans="2:15" x14ac:dyDescent="0.2">
      <c r="B34" t="s">
        <v>152</v>
      </c>
      <c r="C34" s="55">
        <f t="shared" ref="C34:L34" si="7">IFERROR(365/C28,0)</f>
        <v>126.14134775048444</v>
      </c>
      <c r="D34" s="55">
        <f t="shared" si="7"/>
        <v>134.56095906070459</v>
      </c>
      <c r="E34" s="55">
        <f t="shared" si="7"/>
        <v>126.47577894018649</v>
      </c>
      <c r="F34" s="55">
        <f t="shared" si="7"/>
        <v>121.19973109011927</v>
      </c>
      <c r="G34" s="55">
        <f t="shared" si="7"/>
        <v>116.34118882439492</v>
      </c>
      <c r="H34" s="55">
        <f t="shared" si="7"/>
        <v>127.40549714144852</v>
      </c>
      <c r="I34" s="55">
        <f t="shared" si="7"/>
        <v>132.80375554208848</v>
      </c>
      <c r="J34" s="55">
        <f t="shared" si="7"/>
        <v>129.38216635372441</v>
      </c>
      <c r="K34" s="55">
        <f t="shared" si="7"/>
        <v>200.30742773340523</v>
      </c>
      <c r="L34" s="55">
        <f t="shared" si="7"/>
        <v>195.50432788634546</v>
      </c>
      <c r="N34" s="55">
        <f t="shared" si="2"/>
        <v>141.01221803229018</v>
      </c>
      <c r="O34" s="55">
        <f t="shared" si="3"/>
        <v>128.39383174758646</v>
      </c>
    </row>
    <row r="35" spans="2:15" x14ac:dyDescent="0.2">
      <c r="B35" t="s">
        <v>151</v>
      </c>
      <c r="C35" s="55">
        <f t="shared" ref="C35:L35" si="8">IFERROR(365/C29,0)</f>
        <v>89.593169030850419</v>
      </c>
      <c r="D35" s="55">
        <f t="shared" si="8"/>
        <v>78.225014934619551</v>
      </c>
      <c r="E35" s="55">
        <f t="shared" si="8"/>
        <v>77.565077362131078</v>
      </c>
      <c r="F35" s="55">
        <f t="shared" si="8"/>
        <v>80.964917603254506</v>
      </c>
      <c r="G35" s="55">
        <f t="shared" si="8"/>
        <v>64.840066117280344</v>
      </c>
      <c r="H35" s="55">
        <f t="shared" si="8"/>
        <v>70.758600003620046</v>
      </c>
      <c r="I35" s="55">
        <f t="shared" si="8"/>
        <v>66.579598836895812</v>
      </c>
      <c r="J35" s="55">
        <f t="shared" si="8"/>
        <v>71.544518818616339</v>
      </c>
      <c r="K35" s="55">
        <f t="shared" si="8"/>
        <v>66.475254589516524</v>
      </c>
      <c r="L35" s="55">
        <f t="shared" si="8"/>
        <v>74.579678516088379</v>
      </c>
      <c r="N35" s="55">
        <f t="shared" si="2"/>
        <v>74.11258958128731</v>
      </c>
      <c r="O35" s="55">
        <f t="shared" si="3"/>
        <v>73.062098667352359</v>
      </c>
    </row>
    <row r="36" spans="2:15" x14ac:dyDescent="0.2">
      <c r="B36" s="50" t="s">
        <v>145</v>
      </c>
      <c r="C36" s="56">
        <f>IFERROR(C33+C35-C34,0)</f>
        <v>-3.9653946182800155</v>
      </c>
      <c r="D36" s="56">
        <f t="shared" ref="D36:L36" si="9">IFERROR(D33+D35-D34,0)</f>
        <v>-24.439394945092204</v>
      </c>
      <c r="E36" s="56">
        <f t="shared" si="9"/>
        <v>-14.191692282861467</v>
      </c>
      <c r="F36" s="56">
        <f t="shared" si="9"/>
        <v>-5.9797283320692145</v>
      </c>
      <c r="G36" s="56">
        <f t="shared" si="9"/>
        <v>-16.566498087662481</v>
      </c>
      <c r="H36" s="56">
        <f t="shared" si="9"/>
        <v>-32.695761000445614</v>
      </c>
      <c r="I36" s="56">
        <f t="shared" si="9"/>
        <v>-41.691305771981021</v>
      </c>
      <c r="J36" s="56">
        <f t="shared" si="9"/>
        <v>-36.696599328455903</v>
      </c>
      <c r="K36" s="56">
        <f t="shared" si="9"/>
        <v>-112.30665829269657</v>
      </c>
      <c r="L36" s="56">
        <f t="shared" si="9"/>
        <v>-102.90512705539129</v>
      </c>
      <c r="M36" s="64"/>
      <c r="N36" s="56">
        <f t="shared" si="2"/>
        <v>-39.143815971493574</v>
      </c>
      <c r="O36" s="56">
        <f t="shared" si="3"/>
        <v>-28.567577972768909</v>
      </c>
    </row>
    <row r="38" spans="2:15" x14ac:dyDescent="0.2">
      <c r="B38" s="49" t="s">
        <v>146</v>
      </c>
      <c r="C38" s="57">
        <f>IFERROR('Historical FS'!C78/'Historical FS'!C6,0)</f>
        <v>3.3394811151594053</v>
      </c>
      <c r="D38" s="57">
        <f>IFERROR('Historical FS'!D78/'Historical FS'!D6,0)</f>
        <v>5.3323893178750792</v>
      </c>
      <c r="E38" s="57">
        <f>IFERROR('Historical FS'!E78/'Historical FS'!E6,0)</f>
        <v>5.213422641537119</v>
      </c>
      <c r="F38" s="57">
        <f>IFERROR('Historical FS'!F78/'Historical FS'!F6,0)</f>
        <v>5.2264359098117632</v>
      </c>
      <c r="G38" s="57">
        <f>IFERROR('Historical FS'!G78/'Historical FS'!G6,0)</f>
        <v>3.1335461150390871</v>
      </c>
      <c r="H38" s="57">
        <f>IFERROR('Historical FS'!H78/'Historical FS'!H6,0)</f>
        <v>2.0563125590952618</v>
      </c>
      <c r="I38" s="57">
        <f>IFERROR('Historical FS'!I78/'Historical FS'!I6,0)</f>
        <v>1.5203410441701131</v>
      </c>
      <c r="J38" s="57">
        <f>IFERROR('Historical FS'!J78/'Historical FS'!J6,0)</f>
        <v>1.9322782293755569</v>
      </c>
      <c r="K38" s="57">
        <f>IFERROR('Historical FS'!K78/'Historical FS'!K6,0)</f>
        <v>1.9071936129844764</v>
      </c>
      <c r="L38" s="57">
        <f>IFERROR('Historical FS'!L78/'Historical FS'!L6,0)</f>
        <v>0.81067980452143507</v>
      </c>
      <c r="M38" s="63"/>
      <c r="N38" s="57">
        <f t="shared" si="2"/>
        <v>3.0472080349569293</v>
      </c>
      <c r="O38" s="57">
        <f t="shared" si="3"/>
        <v>2.5949293370671747</v>
      </c>
    </row>
    <row r="39" spans="2:15" x14ac:dyDescent="0.2">
      <c r="B39" t="s">
        <v>147</v>
      </c>
      <c r="C39" s="58">
        <f>IFERROR('Historical FS'!C78/'Historical FS'!C65,0)</f>
        <v>2.2398319918825722</v>
      </c>
      <c r="D39" s="58">
        <f>IFERROR('Historical FS'!D78/'Historical FS'!D65,0)</f>
        <v>3.7849071498344222</v>
      </c>
      <c r="E39" s="58">
        <f>IFERROR('Historical FS'!E78/'Historical FS'!E65,0)</f>
        <v>3.3966270137160208</v>
      </c>
      <c r="F39" s="58">
        <f>IFERROR('Historical FS'!F78/'Historical FS'!F65,0)</f>
        <v>3.4831922269564033</v>
      </c>
      <c r="G39" s="58">
        <f>IFERROR('Historical FS'!G78/'Historical FS'!G65,0)</f>
        <v>1.6347769506264263</v>
      </c>
      <c r="H39" s="58">
        <f>IFERROR('Historical FS'!H78/'Historical FS'!H65,0)</f>
        <v>1.1800184193943759</v>
      </c>
      <c r="I39" s="58">
        <f>IFERROR('Historical FS'!I78/'Historical FS'!I65,0)</f>
        <v>0.89636614603079401</v>
      </c>
      <c r="J39" s="58">
        <f>IFERROR('Historical FS'!J78/'Historical FS'!J65,0)</f>
        <v>1.1700345612452769</v>
      </c>
      <c r="K39" s="58">
        <f>IFERROR('Historical FS'!K78/'Historical FS'!K65,0)</f>
        <v>1.0402352469386227</v>
      </c>
      <c r="L39" s="58">
        <f>IFERROR('Historical FS'!L78/'Historical FS'!L65,0)</f>
        <v>0.44871259183767082</v>
      </c>
      <c r="N39" s="58">
        <f t="shared" si="2"/>
        <v>1.9274702298462583</v>
      </c>
      <c r="O39" s="58">
        <f t="shared" si="3"/>
        <v>1.4073976850104011</v>
      </c>
    </row>
    <row r="40" spans="2:15" x14ac:dyDescent="0.2">
      <c r="B40" s="50" t="s">
        <v>148</v>
      </c>
      <c r="C40" s="59">
        <f>IFERROR('Historical FS'!C78/'Historical FS'!C50,0)</f>
        <v>16.367637827258964</v>
      </c>
      <c r="D40" s="59">
        <f>IFERROR('Historical FS'!D78/'Historical FS'!D50,0)</f>
        <v>45.961147274206674</v>
      </c>
      <c r="E40" s="59">
        <f>IFERROR('Historical FS'!E78/'Historical FS'!E50,0)</f>
        <v>33.282095955338249</v>
      </c>
      <c r="F40" s="59">
        <f>IFERROR('Historical FS'!F78/'Historical FS'!F50,0)</f>
        <v>33.213127683813866</v>
      </c>
      <c r="G40" s="59">
        <f>IFERROR('Historical FS'!G78/'Historical FS'!G50,0)</f>
        <v>19.03733168591457</v>
      </c>
      <c r="H40" s="59">
        <f>IFERROR('Historical FS'!H78/'Historical FS'!H50,0)</f>
        <v>14.604634079152767</v>
      </c>
      <c r="I40" s="59">
        <f>IFERROR('Historical FS'!I78/'Historical FS'!I50,0)</f>
        <v>13.378658791368332</v>
      </c>
      <c r="J40" s="59">
        <f>IFERROR('Historical FS'!J78/'Historical FS'!J50,0)</f>
        <v>16.645146371340719</v>
      </c>
      <c r="K40" s="59">
        <f>IFERROR('Historical FS'!K78/'Historical FS'!K50,0)</f>
        <v>8.3401395367563751</v>
      </c>
      <c r="L40" s="59">
        <f>IFERROR('Historical FS'!L78/'Historical FS'!L50,0)</f>
        <v>5.9693732550947054</v>
      </c>
      <c r="M40" s="64"/>
      <c r="N40" s="59">
        <f t="shared" si="2"/>
        <v>20.679929246024521</v>
      </c>
      <c r="O40" s="59">
        <f t="shared" si="3"/>
        <v>16.506392099299841</v>
      </c>
    </row>
  </sheetData>
  <mergeCells count="1">
    <mergeCell ref="B2:O2"/>
  </mergeCells>
  <pageMargins left="0.7" right="0.7" top="0.75" bottom="0.75" header="0.3" footer="0.3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 xr2:uid="{04C16C12-9D36-0B4E-86A1-EC44678238CF}">
          <x14:colorSeries theme="1"/>
          <x14:colorNegative theme="5"/>
          <x14:colorAxis rgb="FF000000"/>
          <x14:colorMarkers theme="1" tint="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'Ratio Analysis'!D5:L5</xm:f>
              <xm:sqref>M5</xm:sqref>
            </x14:sparkline>
          </x14:sparklines>
        </x14:sparklineGroup>
        <x14:sparklineGroup displayEmptyCellsAs="gap" markers="1" xr2:uid="{EDBBEA59-C256-CC4D-864E-5A7DB6A5B46E}">
          <x14:colorSeries theme="1"/>
          <x14:colorNegative theme="5"/>
          <x14:colorAxis rgb="FF000000"/>
          <x14:colorMarkers theme="1" tint="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'Ratio Analysis'!D6:L6</xm:f>
              <xm:sqref>M6</xm:sqref>
            </x14:sparkline>
            <x14:sparkline>
              <xm:f>'Ratio Analysis'!D7:L7</xm:f>
              <xm:sqref>M7</xm:sqref>
            </x14:sparkline>
            <x14:sparkline>
              <xm:f>'Ratio Analysis'!D8:L8</xm:f>
              <xm:sqref>M8</xm:sqref>
            </x14:sparkline>
            <x14:sparkline>
              <xm:f>'Ratio Analysis'!D9:L9</xm:f>
              <xm:sqref>M9</xm:sqref>
            </x14:sparkline>
          </x14:sparklines>
        </x14:sparklineGroup>
        <x14:sparklineGroup displayEmptyCellsAs="gap" markers="1" xr2:uid="{7C05B603-40DC-CD40-B627-FD3D1A231A19}">
          <x14:colorSeries theme="1"/>
          <x14:colorNegative theme="5"/>
          <x14:colorAxis rgb="FF000000"/>
          <x14:colorMarkers theme="1" tint="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'Ratio Analysis'!C11:L11</xm:f>
              <xm:sqref>M11</xm:sqref>
            </x14:sparkline>
          </x14:sparklines>
        </x14:sparklineGroup>
        <x14:sparklineGroup displayEmptyCellsAs="gap" markers="1" xr2:uid="{A96B1B3F-B045-A54F-B9E8-7C71F358D9D3}">
          <x14:colorSeries theme="1"/>
          <x14:colorNegative theme="5"/>
          <x14:colorAxis rgb="FF000000"/>
          <x14:colorMarkers theme="1" tint="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'Ratio Analysis'!C12:L12</xm:f>
              <xm:sqref>M12</xm:sqref>
            </x14:sparkline>
            <x14:sparkline>
              <xm:f>'Ratio Analysis'!C13:L13</xm:f>
              <xm:sqref>M13</xm:sqref>
            </x14:sparkline>
            <x14:sparkline>
              <xm:f>'Ratio Analysis'!C14:L14</xm:f>
              <xm:sqref>M14</xm:sqref>
            </x14:sparkline>
            <x14:sparkline>
              <xm:f>'Ratio Analysis'!C15:L15</xm:f>
              <xm:sqref>M15</xm:sqref>
            </x14:sparkline>
          </x14:sparklines>
        </x14:sparklineGroup>
        <x14:sparklineGroup displayEmptyCellsAs="gap" markers="1" xr2:uid="{1D7509D8-7DD2-F84D-B6F4-2BCFB377F2FA}">
          <x14:colorSeries theme="1"/>
          <x14:colorNegative theme="5"/>
          <x14:colorAxis rgb="FF000000"/>
          <x14:colorMarkers theme="1" tint="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'Ratio Analysis'!C17:L17</xm:f>
              <xm:sqref>M17</xm:sqref>
            </x14:sparkline>
            <x14:sparkline>
              <xm:f>'Ratio Analysis'!C18:L18</xm:f>
              <xm:sqref>M18</xm:sqref>
            </x14:sparkline>
            <x14:sparkline>
              <xm:f>'Ratio Analysis'!C19:L19</xm:f>
              <xm:sqref>M19</xm:sqref>
            </x14:sparkline>
          </x14:sparklines>
        </x14:sparklineGroup>
        <x14:sparklineGroup displayEmptyCellsAs="gap" markers="1" xr2:uid="{4F09F0FE-B44C-184A-9ED9-15B459FDD3DA}">
          <x14:colorSeries theme="1"/>
          <x14:colorNegative theme="5"/>
          <x14:colorAxis rgb="FF000000"/>
          <x14:colorMarkers theme="1" tint="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'Ratio Analysis'!C21:L21</xm:f>
              <xm:sqref>M21</xm:sqref>
            </x14:sparkline>
            <x14:sparkline>
              <xm:f>'Ratio Analysis'!C22:L22</xm:f>
              <xm:sqref>M22</xm:sqref>
            </x14:sparkline>
            <x14:sparkline>
              <xm:f>'Ratio Analysis'!C23:L23</xm:f>
              <xm:sqref>M23</xm:sqref>
            </x14:sparkline>
            <x14:sparkline>
              <xm:f>'Ratio Analysis'!C24:L24</xm:f>
              <xm:sqref>M24</xm:sqref>
            </x14:sparkline>
            <x14:sparkline>
              <xm:f>'Ratio Analysis'!C25:L25</xm:f>
              <xm:sqref>M25</xm:sqref>
            </x14:sparkline>
          </x14:sparklines>
        </x14:sparklineGroup>
        <x14:sparklineGroup displayEmptyCellsAs="gap" markers="1" xr2:uid="{F377EB58-D8F6-E442-8A6E-E3118D1353C6}">
          <x14:colorSeries theme="1"/>
          <x14:colorNegative theme="5"/>
          <x14:colorAxis rgb="FF000000"/>
          <x14:colorMarkers theme="1" tint="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'Ratio Analysis'!C27:L27</xm:f>
              <xm:sqref>M27</xm:sqref>
            </x14:sparkline>
            <x14:sparkline>
              <xm:f>'Ratio Analysis'!C28:L28</xm:f>
              <xm:sqref>M28</xm:sqref>
            </x14:sparkline>
            <x14:sparkline>
              <xm:f>'Ratio Analysis'!C29:L29</xm:f>
              <xm:sqref>M29</xm:sqref>
            </x14:sparkline>
            <x14:sparkline>
              <xm:f>'Ratio Analysis'!C30:L30</xm:f>
              <xm:sqref>M30</xm:sqref>
            </x14:sparkline>
            <x14:sparkline>
              <xm:f>'Ratio Analysis'!C31:L31</xm:f>
              <xm:sqref>M31</xm:sqref>
            </x14:sparkline>
          </x14:sparklines>
        </x14:sparklineGroup>
        <x14:sparklineGroup displayEmptyCellsAs="gap" markers="1" xr2:uid="{9A486B93-1990-C345-8722-9E0C97C05CAE}">
          <x14:colorSeries theme="1"/>
          <x14:colorNegative theme="5"/>
          <x14:colorAxis rgb="FF000000"/>
          <x14:colorMarkers theme="1" tint="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'Ratio Analysis'!C33:L33</xm:f>
              <xm:sqref>M33</xm:sqref>
            </x14:sparkline>
            <x14:sparkline>
              <xm:f>'Ratio Analysis'!C34:L34</xm:f>
              <xm:sqref>M34</xm:sqref>
            </x14:sparkline>
            <x14:sparkline>
              <xm:f>'Ratio Analysis'!C35:L35</xm:f>
              <xm:sqref>M35</xm:sqref>
            </x14:sparkline>
            <x14:sparkline>
              <xm:f>'Ratio Analysis'!C36:L36</xm:f>
              <xm:sqref>M36</xm:sqref>
            </x14:sparkline>
          </x14:sparklines>
        </x14:sparklineGroup>
        <x14:sparklineGroup displayEmptyCellsAs="gap" markers="1" xr2:uid="{75570300-0A84-3140-9EA7-C52A422380BE}">
          <x14:colorSeries theme="1"/>
          <x14:colorNegative theme="5"/>
          <x14:colorAxis rgb="FF000000"/>
          <x14:colorMarkers theme="1" tint="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'Ratio Analysis'!C38:L38</xm:f>
              <xm:sqref>M38</xm:sqref>
            </x14:sparkline>
            <x14:sparkline>
              <xm:f>'Ratio Analysis'!C39:L39</xm:f>
              <xm:sqref>M39</xm:sqref>
            </x14:sparkline>
            <x14:sparkline>
              <xm:f>'Ratio Analysis'!C40:L40</xm:f>
              <xm:sqref>M40</xm:sqref>
            </x14:sparkline>
          </x14:sparklines>
        </x14:sparklineGroup>
      </x14:sparklineGroup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D2D1C-E35D-134A-9BFA-4DF1C798D446}">
  <dimension ref="B2:O20"/>
  <sheetViews>
    <sheetView showGridLines="0" zoomScale="125" zoomScaleNormal="125" workbookViewId="0">
      <selection activeCell="J17" sqref="J17"/>
    </sheetView>
  </sheetViews>
  <sheetFormatPr baseColWidth="10" defaultRowHeight="15" x14ac:dyDescent="0.2"/>
  <cols>
    <col min="1" max="1" width="2" customWidth="1"/>
    <col min="2" max="2" width="13.1640625" customWidth="1"/>
    <col min="3" max="3" width="12.33203125" customWidth="1"/>
    <col min="4" max="4" width="14.1640625" customWidth="1"/>
    <col min="5" max="5" width="12.6640625" customWidth="1"/>
    <col min="6" max="6" width="2.83203125" customWidth="1"/>
    <col min="9" max="9" width="14.5" customWidth="1"/>
    <col min="10" max="10" width="16.5" customWidth="1"/>
    <col min="11" max="11" width="2.83203125" customWidth="1"/>
    <col min="13" max="13" width="12" customWidth="1"/>
    <col min="14" max="14" width="14" customWidth="1"/>
    <col min="15" max="15" width="16" customWidth="1"/>
  </cols>
  <sheetData>
    <row r="2" spans="2:15" x14ac:dyDescent="0.2">
      <c r="B2" s="69" t="str">
        <f>'Data Sheet'!B1&amp;" - "&amp;'Data Sheet'!A17&amp;" Forecasting"</f>
        <v>TATA CONSUMER PRODUCTS LTD - Sales Forecasting</v>
      </c>
      <c r="C2" s="70"/>
      <c r="D2" s="70"/>
      <c r="E2" s="70"/>
      <c r="G2" s="69" t="str">
        <f>'Data Sheet'!B1&amp;" - "&amp;'Historical FS'!B18&amp;" Forecasting"</f>
        <v>TATA CONSUMER PRODUCTS LTD - EBITDA Forecasting</v>
      </c>
      <c r="H2" s="70"/>
      <c r="I2" s="70"/>
      <c r="J2" s="70"/>
      <c r="L2" s="69" t="str">
        <f>'Data Sheet'!B1&amp;" - "&amp;'Historical FS'!B38&amp;" Forecasting"</f>
        <v>TATA CONSUMER PRODUCTS LTD - Earnings Per Share Forecasting</v>
      </c>
      <c r="M2" s="70"/>
      <c r="N2" s="70"/>
      <c r="O2" s="70"/>
    </row>
    <row r="3" spans="2:15" x14ac:dyDescent="0.2">
      <c r="B3" s="67" t="s">
        <v>157</v>
      </c>
      <c r="C3" s="65" t="s">
        <v>158</v>
      </c>
      <c r="D3" s="65" t="str">
        <f>'Data Sheet'!A17</f>
        <v>Sales</v>
      </c>
      <c r="E3" s="65" t="str">
        <f>D3&amp;" Growth"</f>
        <v>Sales Growth</v>
      </c>
      <c r="G3" s="67" t="s">
        <v>157</v>
      </c>
      <c r="H3" s="65" t="s">
        <v>158</v>
      </c>
      <c r="I3" s="65" t="str">
        <f>'Historical FS'!B18</f>
        <v>EBITDA</v>
      </c>
      <c r="J3" s="65" t="str">
        <f>I3&amp;" Growth"</f>
        <v>EBITDA Growth</v>
      </c>
      <c r="L3" s="67" t="s">
        <v>157</v>
      </c>
      <c r="M3" s="65" t="s">
        <v>158</v>
      </c>
      <c r="N3" s="65" t="s">
        <v>76</v>
      </c>
      <c r="O3" s="65" t="s">
        <v>159</v>
      </c>
    </row>
    <row r="4" spans="2:15" x14ac:dyDescent="0.2">
      <c r="B4" s="66">
        <v>1</v>
      </c>
      <c r="C4" s="71">
        <f>'Data Sheet'!B16</f>
        <v>42460</v>
      </c>
      <c r="D4" s="24" cm="1">
        <f t="array" ref="D4:D13">TRANSPOSE('Data Sheet'!B17:K17)</f>
        <v>6636.54</v>
      </c>
      <c r="G4">
        <v>1</v>
      </c>
      <c r="H4" s="77">
        <f>'Ratio Analysis'!C3</f>
        <v>42460</v>
      </c>
      <c r="I4" s="24" cm="1">
        <f t="array" ref="I4:I13">IFERROR(TRANSPOSE('Historical FS'!C18:L18),0)</f>
        <v>365.91000000000031</v>
      </c>
      <c r="L4">
        <v>1</v>
      </c>
      <c r="M4" s="77">
        <f>H4</f>
        <v>42460</v>
      </c>
      <c r="N4" s="31" cm="1">
        <f t="array" ref="N4:N13">TRANSPOSE('Historical FS'!C38:L38)</f>
        <v>-1.0343301800427169</v>
      </c>
    </row>
    <row r="5" spans="2:15" x14ac:dyDescent="0.2">
      <c r="B5" s="66">
        <f>B4+1</f>
        <v>2</v>
      </c>
      <c r="C5" s="71">
        <f>C4+365</f>
        <v>42825</v>
      </c>
      <c r="D5" s="24">
        <v>6779.55</v>
      </c>
      <c r="E5" s="68">
        <f>IFERROR(D5/D4-1,0)</f>
        <v>2.1548879385945074E-2</v>
      </c>
      <c r="G5">
        <f>G4+1</f>
        <v>2</v>
      </c>
      <c r="H5" s="77">
        <f>H4+365</f>
        <v>42825</v>
      </c>
      <c r="I5" s="24">
        <v>791.1299999999992</v>
      </c>
      <c r="J5" s="68">
        <f>IFERROR(I5/I4-1,0)</f>
        <v>1.1620890382880997</v>
      </c>
      <c r="L5">
        <f>L4+1</f>
        <v>2</v>
      </c>
      <c r="M5" s="77">
        <f>H5</f>
        <v>42825</v>
      </c>
      <c r="N5" s="31">
        <v>5.7255111382361799</v>
      </c>
      <c r="O5" s="68">
        <f>IFERROR(N5/N4-1,0)</f>
        <v>-6.5354772090278956</v>
      </c>
    </row>
    <row r="6" spans="2:15" x14ac:dyDescent="0.2">
      <c r="B6" s="66">
        <f t="shared" ref="B6:B18" si="0">B5+1</f>
        <v>3</v>
      </c>
      <c r="C6" s="71">
        <f t="shared" ref="C6:C18" si="1">C5+365</f>
        <v>43190</v>
      </c>
      <c r="D6" s="24">
        <v>6815.35</v>
      </c>
      <c r="E6" s="68">
        <f t="shared" ref="E6:E18" si="2">IFERROR(D6/D5-1,0)</f>
        <v>5.2805864696034988E-3</v>
      </c>
      <c r="G6">
        <f t="shared" ref="G6:G18" si="3">G5+1</f>
        <v>3</v>
      </c>
      <c r="H6" s="77">
        <f t="shared" ref="H6:H18" si="4">H5+365</f>
        <v>43190</v>
      </c>
      <c r="I6" s="24">
        <v>838.90999999999985</v>
      </c>
      <c r="J6" s="68">
        <f t="shared" ref="J6:J18" si="5">IFERROR(I6/I5-1,0)</f>
        <v>6.0394625409225577E-2</v>
      </c>
      <c r="L6">
        <f t="shared" ref="L6:L18" si="6">L5+1</f>
        <v>3</v>
      </c>
      <c r="M6" s="77">
        <f t="shared" ref="M6:M18" si="7">H6</f>
        <v>43190</v>
      </c>
      <c r="N6" s="31">
        <v>7.5410436374732965</v>
      </c>
      <c r="O6" s="68">
        <f t="shared" ref="O6:O18" si="8">IFERROR(N6/N5-1,0)</f>
        <v>0.31709526982012215</v>
      </c>
    </row>
    <row r="7" spans="2:15" x14ac:dyDescent="0.2">
      <c r="B7" s="66">
        <f t="shared" si="0"/>
        <v>4</v>
      </c>
      <c r="C7" s="71">
        <f t="shared" si="1"/>
        <v>43555</v>
      </c>
      <c r="D7" s="24">
        <v>7251.5</v>
      </c>
      <c r="E7" s="68">
        <f t="shared" si="2"/>
        <v>6.3995246025515984E-2</v>
      </c>
      <c r="G7">
        <f t="shared" si="3"/>
        <v>4</v>
      </c>
      <c r="H7" s="77">
        <f t="shared" si="4"/>
        <v>43555</v>
      </c>
      <c r="I7" s="24">
        <v>785.90999999999963</v>
      </c>
      <c r="J7" s="68">
        <f t="shared" si="5"/>
        <v>-6.3177218056764461E-2</v>
      </c>
      <c r="L7">
        <f t="shared" si="6"/>
        <v>4</v>
      </c>
      <c r="M7" s="77">
        <f t="shared" si="7"/>
        <v>43555</v>
      </c>
      <c r="N7" s="31">
        <v>5.340097650289894</v>
      </c>
      <c r="O7" s="68">
        <f t="shared" si="8"/>
        <v>-0.29186225315636183</v>
      </c>
    </row>
    <row r="8" spans="2:15" x14ac:dyDescent="0.2">
      <c r="B8" s="66">
        <f t="shared" si="0"/>
        <v>5</v>
      </c>
      <c r="C8" s="71">
        <f t="shared" si="1"/>
        <v>43920</v>
      </c>
      <c r="D8" s="24">
        <v>9637.42</v>
      </c>
      <c r="E8" s="68">
        <f t="shared" si="2"/>
        <v>0.32902433979176715</v>
      </c>
      <c r="G8">
        <f t="shared" si="3"/>
        <v>5</v>
      </c>
      <c r="H8" s="77">
        <f t="shared" si="4"/>
        <v>43920</v>
      </c>
      <c r="I8" s="24">
        <v>1292.1500000000001</v>
      </c>
      <c r="J8" s="68">
        <f t="shared" si="5"/>
        <v>0.6441450038808525</v>
      </c>
      <c r="L8">
        <f t="shared" si="6"/>
        <v>5</v>
      </c>
      <c r="M8" s="77">
        <f t="shared" si="7"/>
        <v>43920</v>
      </c>
      <c r="N8" s="31">
        <v>7.2977011494252881</v>
      </c>
      <c r="O8" s="68">
        <f t="shared" si="8"/>
        <v>0.36658571197272449</v>
      </c>
    </row>
    <row r="9" spans="2:15" x14ac:dyDescent="0.2">
      <c r="B9" s="66">
        <f t="shared" si="0"/>
        <v>6</v>
      </c>
      <c r="C9" s="71">
        <f t="shared" si="1"/>
        <v>44285</v>
      </c>
      <c r="D9" s="24">
        <v>11602.03</v>
      </c>
      <c r="E9" s="68">
        <f t="shared" si="2"/>
        <v>0.20385227581655685</v>
      </c>
      <c r="G9">
        <f t="shared" si="3"/>
        <v>6</v>
      </c>
      <c r="H9" s="77">
        <f t="shared" si="4"/>
        <v>44285</v>
      </c>
      <c r="I9" s="24">
        <v>1543.7600000000023</v>
      </c>
      <c r="J9" s="68">
        <f t="shared" si="5"/>
        <v>0.19472197500290389</v>
      </c>
      <c r="L9">
        <f t="shared" si="6"/>
        <v>6</v>
      </c>
      <c r="M9" s="77">
        <f t="shared" si="7"/>
        <v>44285</v>
      </c>
      <c r="N9" s="31">
        <v>9.4363636363636587</v>
      </c>
      <c r="O9" s="68">
        <f t="shared" si="8"/>
        <v>0.29305975171466092</v>
      </c>
    </row>
    <row r="10" spans="2:15" x14ac:dyDescent="0.2">
      <c r="B10" s="66">
        <f t="shared" si="0"/>
        <v>7</v>
      </c>
      <c r="C10" s="71">
        <f t="shared" si="1"/>
        <v>44650</v>
      </c>
      <c r="D10" s="24">
        <v>12425.37</v>
      </c>
      <c r="E10" s="68">
        <f t="shared" si="2"/>
        <v>7.0965167302618593E-2</v>
      </c>
      <c r="G10">
        <f t="shared" si="3"/>
        <v>7</v>
      </c>
      <c r="H10" s="77">
        <f t="shared" si="4"/>
        <v>44650</v>
      </c>
      <c r="I10" s="24">
        <v>1718.7800000000025</v>
      </c>
      <c r="J10" s="68">
        <f t="shared" si="5"/>
        <v>0.11337254495517435</v>
      </c>
      <c r="L10">
        <f t="shared" si="6"/>
        <v>7</v>
      </c>
      <c r="M10" s="77">
        <f t="shared" si="7"/>
        <v>44650</v>
      </c>
      <c r="N10" s="31">
        <v>10.354754440961363</v>
      </c>
      <c r="O10" s="68">
        <f t="shared" si="8"/>
        <v>9.7324651739640888E-2</v>
      </c>
    </row>
    <row r="11" spans="2:15" x14ac:dyDescent="0.2">
      <c r="B11" s="66">
        <f t="shared" si="0"/>
        <v>8</v>
      </c>
      <c r="C11" s="71">
        <f t="shared" si="1"/>
        <v>45015</v>
      </c>
      <c r="D11" s="24">
        <v>13783.16</v>
      </c>
      <c r="E11" s="68">
        <f t="shared" si="2"/>
        <v>0.10927561915661266</v>
      </c>
      <c r="G11">
        <f t="shared" si="3"/>
        <v>8</v>
      </c>
      <c r="H11" s="77">
        <f t="shared" si="4"/>
        <v>45015</v>
      </c>
      <c r="I11" s="24">
        <v>1856.469999999998</v>
      </c>
      <c r="J11" s="68">
        <f t="shared" si="5"/>
        <v>8.0109147185791763E-2</v>
      </c>
      <c r="L11">
        <f t="shared" si="6"/>
        <v>8</v>
      </c>
      <c r="M11" s="77">
        <f t="shared" si="7"/>
        <v>45015</v>
      </c>
      <c r="N11" s="31">
        <v>10.554472893127377</v>
      </c>
      <c r="O11" s="68">
        <f t="shared" si="8"/>
        <v>1.9287608731305861E-2</v>
      </c>
    </row>
    <row r="12" spans="2:15" x14ac:dyDescent="0.2">
      <c r="B12" s="66">
        <f t="shared" si="0"/>
        <v>9</v>
      </c>
      <c r="C12" s="71">
        <f t="shared" si="1"/>
        <v>45380</v>
      </c>
      <c r="D12" s="24">
        <v>15205.85</v>
      </c>
      <c r="E12" s="68">
        <f t="shared" si="2"/>
        <v>0.10321943589133409</v>
      </c>
      <c r="G12">
        <f t="shared" si="3"/>
        <v>9</v>
      </c>
      <c r="H12" s="77">
        <f t="shared" si="4"/>
        <v>45380</v>
      </c>
      <c r="I12" s="24">
        <v>2284.1000000000008</v>
      </c>
      <c r="J12" s="68">
        <f t="shared" si="5"/>
        <v>0.23034576373440085</v>
      </c>
      <c r="L12">
        <f t="shared" si="6"/>
        <v>9</v>
      </c>
      <c r="M12" s="77">
        <f t="shared" si="7"/>
        <v>45380</v>
      </c>
      <c r="N12" s="31">
        <v>13.970793329964636</v>
      </c>
      <c r="O12" s="68">
        <f t="shared" si="8"/>
        <v>0.32368460949497724</v>
      </c>
    </row>
    <row r="13" spans="2:15" x14ac:dyDescent="0.2">
      <c r="B13" s="66">
        <f t="shared" si="0"/>
        <v>10</v>
      </c>
      <c r="C13" s="71">
        <f t="shared" si="1"/>
        <v>45745</v>
      </c>
      <c r="D13" s="24">
        <v>17618.3</v>
      </c>
      <c r="E13" s="68">
        <f t="shared" si="2"/>
        <v>0.1586527553540249</v>
      </c>
      <c r="G13">
        <f t="shared" si="3"/>
        <v>10</v>
      </c>
      <c r="H13" s="77">
        <f t="shared" si="4"/>
        <v>45745</v>
      </c>
      <c r="I13" s="24">
        <v>2479.3499999999995</v>
      </c>
      <c r="J13" s="68">
        <f t="shared" si="5"/>
        <v>8.5482246836827924E-2</v>
      </c>
      <c r="L13">
        <f t="shared" si="6"/>
        <v>10</v>
      </c>
      <c r="M13" s="77">
        <f t="shared" si="7"/>
        <v>45745</v>
      </c>
      <c r="N13" s="31">
        <v>12.048206164729658</v>
      </c>
      <c r="O13" s="68">
        <f t="shared" si="8"/>
        <v>-0.13761474526370687</v>
      </c>
    </row>
    <row r="14" spans="2:15" x14ac:dyDescent="0.2">
      <c r="B14" s="73">
        <f t="shared" si="0"/>
        <v>11</v>
      </c>
      <c r="C14" s="74">
        <f t="shared" si="1"/>
        <v>46110</v>
      </c>
      <c r="D14" s="75">
        <f>FORECAST(B14,_xlfn.ANCHORARRAY($D$4),$B$4:$B$13)</f>
        <v>17780.347333333335</v>
      </c>
      <c r="E14" s="76">
        <f t="shared" si="2"/>
        <v>9.1976713606498617E-3</v>
      </c>
      <c r="G14" s="78">
        <f t="shared" si="3"/>
        <v>11</v>
      </c>
      <c r="H14" s="79">
        <f t="shared" si="4"/>
        <v>46110</v>
      </c>
      <c r="I14" s="75">
        <f>FORECAST(G14,_xlfn.ANCHORARRAY($I$4),$G$4:$G$13)</f>
        <v>2649.3060000000005</v>
      </c>
      <c r="J14" s="76">
        <f t="shared" si="5"/>
        <v>6.8548611531248582E-2</v>
      </c>
      <c r="L14" s="78">
        <f t="shared" si="6"/>
        <v>11</v>
      </c>
      <c r="M14" s="79">
        <f t="shared" si="7"/>
        <v>46110</v>
      </c>
      <c r="N14" s="80">
        <f>FORECAST(L14,_xlfn.ANCHORARRAY($N$4),$L$4:$L$13)</f>
        <v>15.04711410546199</v>
      </c>
      <c r="O14" s="76">
        <f t="shared" si="8"/>
        <v>0.24890908237538634</v>
      </c>
    </row>
    <row r="15" spans="2:15" x14ac:dyDescent="0.2">
      <c r="B15" s="73">
        <f t="shared" si="0"/>
        <v>12</v>
      </c>
      <c r="C15" s="74">
        <f t="shared" si="1"/>
        <v>46475</v>
      </c>
      <c r="D15" s="75">
        <f t="shared" ref="D15:D18" si="9">FORECAST(B15,_xlfn.ANCHORARRAY($D$4),$B$4:$B$13)</f>
        <v>19053.954666666668</v>
      </c>
      <c r="E15" s="76">
        <f t="shared" si="2"/>
        <v>7.1630059270308299E-2</v>
      </c>
      <c r="G15" s="78">
        <f t="shared" si="3"/>
        <v>12</v>
      </c>
      <c r="H15" s="79">
        <f t="shared" si="4"/>
        <v>46475</v>
      </c>
      <c r="I15" s="75">
        <f t="shared" ref="I15:I18" si="10">FORECAST(G15,_xlfn.ANCHORARRAY($I$4),$G$4:$G$13)</f>
        <v>2877.2440000000006</v>
      </c>
      <c r="J15" s="76">
        <f t="shared" si="5"/>
        <v>8.603687154296269E-2</v>
      </c>
      <c r="L15" s="78">
        <f t="shared" si="6"/>
        <v>12</v>
      </c>
      <c r="M15" s="79">
        <f t="shared" si="7"/>
        <v>46475</v>
      </c>
      <c r="N15" s="80">
        <f t="shared" ref="N15:N18" si="11">FORECAST(L15,_xlfn.ANCHORARRAY($N$4),$L$4:$L$13)</f>
        <v>16.305960054445464</v>
      </c>
      <c r="O15" s="76">
        <f t="shared" si="8"/>
        <v>8.3660291279809007E-2</v>
      </c>
    </row>
    <row r="16" spans="2:15" x14ac:dyDescent="0.2">
      <c r="B16" s="73">
        <f t="shared" si="0"/>
        <v>13</v>
      </c>
      <c r="C16" s="74">
        <f t="shared" si="1"/>
        <v>46840</v>
      </c>
      <c r="D16" s="75">
        <f t="shared" si="9"/>
        <v>20327.562000000002</v>
      </c>
      <c r="E16" s="76">
        <f t="shared" si="2"/>
        <v>6.6842151963413921E-2</v>
      </c>
      <c r="G16" s="78">
        <f t="shared" si="3"/>
        <v>13</v>
      </c>
      <c r="H16" s="79">
        <f t="shared" si="4"/>
        <v>46840</v>
      </c>
      <c r="I16" s="75">
        <f t="shared" si="10"/>
        <v>3105.1820000000007</v>
      </c>
      <c r="J16" s="76">
        <f t="shared" si="5"/>
        <v>7.9220948935856628E-2</v>
      </c>
      <c r="L16" s="78">
        <f t="shared" si="6"/>
        <v>13</v>
      </c>
      <c r="M16" s="79">
        <f t="shared" si="7"/>
        <v>46840</v>
      </c>
      <c r="N16" s="80">
        <f t="shared" si="11"/>
        <v>17.564806003428941</v>
      </c>
      <c r="O16" s="76">
        <f t="shared" si="8"/>
        <v>7.7201584253868027E-2</v>
      </c>
    </row>
    <row r="17" spans="2:15" x14ac:dyDescent="0.2">
      <c r="B17" s="73">
        <f t="shared" si="0"/>
        <v>14</v>
      </c>
      <c r="C17" s="74">
        <f t="shared" si="1"/>
        <v>47205</v>
      </c>
      <c r="D17" s="75">
        <f t="shared" si="9"/>
        <v>21601.169333333335</v>
      </c>
      <c r="E17" s="76">
        <f t="shared" si="2"/>
        <v>6.2654209753896462E-2</v>
      </c>
      <c r="G17" s="78">
        <f t="shared" si="3"/>
        <v>14</v>
      </c>
      <c r="H17" s="79">
        <f t="shared" si="4"/>
        <v>47205</v>
      </c>
      <c r="I17" s="75">
        <f t="shared" si="10"/>
        <v>3333.12</v>
      </c>
      <c r="J17" s="76">
        <f t="shared" si="5"/>
        <v>7.3405681212888263E-2</v>
      </c>
      <c r="L17" s="78">
        <f t="shared" si="6"/>
        <v>14</v>
      </c>
      <c r="M17" s="79">
        <f t="shared" si="7"/>
        <v>47205</v>
      </c>
      <c r="N17" s="80">
        <f t="shared" si="11"/>
        <v>18.823651952412419</v>
      </c>
      <c r="O17" s="76">
        <f t="shared" si="8"/>
        <v>7.1668650865698735E-2</v>
      </c>
    </row>
    <row r="18" spans="2:15" x14ac:dyDescent="0.2">
      <c r="B18" s="73">
        <f t="shared" si="0"/>
        <v>15</v>
      </c>
      <c r="C18" s="74">
        <f t="shared" si="1"/>
        <v>47570</v>
      </c>
      <c r="D18" s="75">
        <f t="shared" si="9"/>
        <v>22874.776666666668</v>
      </c>
      <c r="E18" s="76">
        <f t="shared" si="2"/>
        <v>5.8960110616233852E-2</v>
      </c>
      <c r="G18" s="78">
        <f t="shared" si="3"/>
        <v>15</v>
      </c>
      <c r="H18" s="79">
        <f t="shared" si="4"/>
        <v>47570</v>
      </c>
      <c r="I18" s="75">
        <f t="shared" si="10"/>
        <v>3561.058</v>
      </c>
      <c r="J18" s="76">
        <f t="shared" si="5"/>
        <v>6.8385776689708244E-2</v>
      </c>
      <c r="L18" s="78">
        <f t="shared" si="6"/>
        <v>15</v>
      </c>
      <c r="M18" s="79">
        <f t="shared" si="7"/>
        <v>47570</v>
      </c>
      <c r="N18" s="80">
        <f t="shared" si="11"/>
        <v>20.082497901395897</v>
      </c>
      <c r="O18" s="76">
        <f t="shared" si="8"/>
        <v>6.6875755680456228E-2</v>
      </c>
    </row>
    <row r="19" spans="2:15" x14ac:dyDescent="0.2">
      <c r="B19" s="66"/>
      <c r="C19" s="72"/>
      <c r="D19" s="24"/>
      <c r="E19" s="68"/>
    </row>
    <row r="20" spans="2:15" x14ac:dyDescent="0.2">
      <c r="B20" s="66"/>
      <c r="C20" s="72"/>
      <c r="D20" s="24"/>
      <c r="E20" s="6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AB8D2-BDD0-284F-9E27-AA0D9FE8C1F4}">
  <dimension ref="A1:K93"/>
  <sheetViews>
    <sheetView workbookViewId="0">
      <selection activeCell="D17" sqref="D17"/>
    </sheetView>
  </sheetViews>
  <sheetFormatPr baseColWidth="10" defaultRowHeight="15" x14ac:dyDescent="0.2"/>
  <cols>
    <col min="1" max="1" width="23.6640625" bestFit="1" customWidth="1"/>
    <col min="2" max="2" width="17.1640625" bestFit="1" customWidth="1"/>
  </cols>
  <sheetData>
    <row r="1" spans="1:11" x14ac:dyDescent="0.2">
      <c r="A1" s="1" t="s">
        <v>0</v>
      </c>
      <c r="B1" s="1" t="s">
        <v>1</v>
      </c>
      <c r="E1" s="2"/>
    </row>
    <row r="2" spans="1:11" x14ac:dyDescent="0.2">
      <c r="A2" s="1" t="s">
        <v>2</v>
      </c>
      <c r="B2" s="3">
        <v>2.1</v>
      </c>
      <c r="E2" s="4" t="s">
        <v>3</v>
      </c>
    </row>
    <row r="3" spans="1:11" x14ac:dyDescent="0.2">
      <c r="A3" s="1" t="s">
        <v>4</v>
      </c>
      <c r="B3" s="3">
        <v>2.1</v>
      </c>
    </row>
    <row r="5" spans="1:11" x14ac:dyDescent="0.2">
      <c r="A5" s="1" t="s">
        <v>5</v>
      </c>
    </row>
    <row r="6" spans="1:11" x14ac:dyDescent="0.2">
      <c r="A6" s="3" t="s">
        <v>6</v>
      </c>
      <c r="B6" s="3">
        <v>358.59</v>
      </c>
    </row>
    <row r="7" spans="1:11" x14ac:dyDescent="0.2">
      <c r="A7" s="3" t="s">
        <v>7</v>
      </c>
      <c r="B7" s="3">
        <v>1</v>
      </c>
    </row>
    <row r="8" spans="1:11" x14ac:dyDescent="0.2">
      <c r="A8" s="3" t="s">
        <v>8</v>
      </c>
      <c r="B8" s="3">
        <v>1093.7</v>
      </c>
    </row>
    <row r="9" spans="1:11" x14ac:dyDescent="0.2">
      <c r="A9" s="3" t="s">
        <v>9</v>
      </c>
      <c r="B9" s="3">
        <v>108228.37</v>
      </c>
    </row>
    <row r="15" spans="1:11" x14ac:dyDescent="0.2">
      <c r="A15" s="1" t="s">
        <v>10</v>
      </c>
      <c r="B15" s="5">
        <v>32432.080000000002</v>
      </c>
      <c r="K15" s="5">
        <v>29129.19</v>
      </c>
    </row>
    <row r="16" spans="1:11" x14ac:dyDescent="0.2">
      <c r="A16" s="1" t="s">
        <v>11</v>
      </c>
      <c r="B16" s="10">
        <v>42460</v>
      </c>
      <c r="C16" s="10">
        <v>42825</v>
      </c>
      <c r="D16" s="10">
        <v>43190</v>
      </c>
      <c r="E16" s="10">
        <v>43555</v>
      </c>
      <c r="F16" s="10">
        <v>43921</v>
      </c>
      <c r="G16" s="10">
        <v>44286</v>
      </c>
      <c r="H16" s="10">
        <v>44651</v>
      </c>
      <c r="I16" s="10">
        <v>45016</v>
      </c>
      <c r="J16" s="10">
        <v>45382</v>
      </c>
      <c r="K16" s="10">
        <v>45747</v>
      </c>
    </row>
    <row r="17" spans="1:11" x14ac:dyDescent="0.2">
      <c r="A17" s="3" t="s">
        <v>12</v>
      </c>
      <c r="B17" s="3">
        <v>6636.54</v>
      </c>
      <c r="C17" s="3">
        <v>6779.55</v>
      </c>
      <c r="D17" s="3">
        <v>6815.35</v>
      </c>
      <c r="E17" s="3">
        <v>7251.5</v>
      </c>
      <c r="F17" s="3">
        <v>9637.42</v>
      </c>
      <c r="G17" s="3">
        <v>11602.03</v>
      </c>
      <c r="H17" s="3">
        <v>12425.37</v>
      </c>
      <c r="I17" s="3">
        <v>13783.16</v>
      </c>
      <c r="J17" s="3">
        <v>15205.85</v>
      </c>
      <c r="K17" s="3">
        <v>17618.3</v>
      </c>
    </row>
    <row r="18" spans="1:11" x14ac:dyDescent="0.2">
      <c r="A18" s="3" t="s">
        <v>13</v>
      </c>
      <c r="B18">
        <v>3601.49</v>
      </c>
      <c r="C18">
        <v>3165.65</v>
      </c>
      <c r="D18">
        <v>3746.11</v>
      </c>
      <c r="E18">
        <v>4022.05</v>
      </c>
      <c r="F18">
        <v>5402.9</v>
      </c>
      <c r="G18">
        <v>6367.79</v>
      </c>
      <c r="H18">
        <v>6323.22</v>
      </c>
      <c r="I18">
        <v>7107.06</v>
      </c>
      <c r="J18">
        <v>7364.06</v>
      </c>
      <c r="K18">
        <v>8986.68</v>
      </c>
    </row>
    <row r="19" spans="1:11" x14ac:dyDescent="0.2">
      <c r="A19" s="3" t="s">
        <v>14</v>
      </c>
      <c r="B19">
        <v>-20.11</v>
      </c>
      <c r="C19">
        <v>0.69</v>
      </c>
      <c r="D19">
        <v>46.8</v>
      </c>
      <c r="E19">
        <v>14.41</v>
      </c>
      <c r="F19">
        <v>-7.78</v>
      </c>
      <c r="G19">
        <v>149.54</v>
      </c>
      <c r="H19">
        <v>39.78</v>
      </c>
      <c r="I19">
        <v>273.88</v>
      </c>
      <c r="J19">
        <v>121.6</v>
      </c>
      <c r="K19">
        <v>362.49</v>
      </c>
    </row>
    <row r="20" spans="1:11" x14ac:dyDescent="0.2">
      <c r="A20" s="3" t="s">
        <v>15</v>
      </c>
      <c r="B20" s="3">
        <v>81.260000000000005</v>
      </c>
      <c r="C20" s="3">
        <v>83.19</v>
      </c>
      <c r="D20" s="3">
        <v>87.07</v>
      </c>
      <c r="E20" s="3">
        <v>89.28</v>
      </c>
      <c r="F20" s="3">
        <v>103.84</v>
      </c>
      <c r="G20" s="3">
        <v>97.36</v>
      </c>
      <c r="H20" s="3">
        <v>123.9</v>
      </c>
      <c r="I20" s="3">
        <v>149.43</v>
      </c>
      <c r="J20" s="3">
        <v>156.9</v>
      </c>
      <c r="K20" s="3">
        <v>156.21</v>
      </c>
    </row>
    <row r="21" spans="1:11" x14ac:dyDescent="0.2">
      <c r="A21" s="3" t="s">
        <v>16</v>
      </c>
      <c r="B21" s="3">
        <v>190.32</v>
      </c>
      <c r="C21" s="3">
        <v>597.61</v>
      </c>
      <c r="D21" s="3">
        <v>194.69</v>
      </c>
      <c r="E21" s="3">
        <v>209.59</v>
      </c>
      <c r="F21" s="3">
        <v>238.47</v>
      </c>
      <c r="G21" s="3">
        <v>941.75</v>
      </c>
      <c r="H21" s="3">
        <v>1139.5899999999999</v>
      </c>
      <c r="I21" s="3">
        <v>1578.2</v>
      </c>
      <c r="J21" s="3">
        <v>1696.28</v>
      </c>
      <c r="K21" s="3">
        <v>1882.25</v>
      </c>
    </row>
    <row r="22" spans="1:11" x14ac:dyDescent="0.2">
      <c r="A22" s="3" t="s">
        <v>17</v>
      </c>
      <c r="B22" s="3">
        <v>805.06</v>
      </c>
      <c r="C22" s="3">
        <v>834.95</v>
      </c>
      <c r="D22" s="3">
        <v>821.37</v>
      </c>
      <c r="E22" s="3">
        <v>806.3</v>
      </c>
      <c r="F22" s="3">
        <v>884.8</v>
      </c>
      <c r="G22" s="3">
        <v>970.23</v>
      </c>
      <c r="H22" s="3">
        <v>1048</v>
      </c>
      <c r="I22" s="3">
        <v>1120.3599999999999</v>
      </c>
      <c r="J22" s="3">
        <v>1258.5899999999999</v>
      </c>
      <c r="K22" s="3">
        <v>1430.1</v>
      </c>
    </row>
    <row r="23" spans="1:11" x14ac:dyDescent="0.2">
      <c r="A23" s="3" t="s">
        <v>18</v>
      </c>
      <c r="B23" s="3">
        <v>922.88</v>
      </c>
      <c r="C23" s="3">
        <v>926.92</v>
      </c>
      <c r="D23" s="3">
        <v>857.64</v>
      </c>
      <c r="E23" s="3">
        <v>968.23</v>
      </c>
      <c r="F23" s="3">
        <v>1278.1600000000001</v>
      </c>
      <c r="G23" s="3">
        <v>1421.46</v>
      </c>
      <c r="H23" s="3">
        <v>1691.83</v>
      </c>
      <c r="I23" s="3">
        <v>1785.26</v>
      </c>
      <c r="J23" s="3">
        <v>1927.15</v>
      </c>
      <c r="K23" s="3">
        <v>2253.37</v>
      </c>
    </row>
    <row r="24" spans="1:11" x14ac:dyDescent="0.2">
      <c r="A24" s="3" t="s">
        <v>19</v>
      </c>
      <c r="B24" s="3">
        <v>649.51</v>
      </c>
      <c r="C24" s="3">
        <v>380.79</v>
      </c>
      <c r="D24" s="3">
        <v>316.36</v>
      </c>
      <c r="E24" s="3">
        <v>384.55</v>
      </c>
      <c r="F24" s="3">
        <v>429.32</v>
      </c>
      <c r="G24" s="3">
        <v>409.22</v>
      </c>
      <c r="H24" s="3">
        <v>419.83</v>
      </c>
      <c r="I24" s="3">
        <v>460.26</v>
      </c>
      <c r="J24" s="3">
        <v>640.37</v>
      </c>
      <c r="K24" s="3">
        <v>792.83</v>
      </c>
    </row>
    <row r="25" spans="1:11" x14ac:dyDescent="0.2">
      <c r="A25" s="3" t="s">
        <v>20</v>
      </c>
      <c r="B25" s="3">
        <v>37.54</v>
      </c>
      <c r="C25" s="3">
        <v>88.4</v>
      </c>
      <c r="D25" s="3">
        <v>73.02</v>
      </c>
      <c r="E25" s="3">
        <v>123.84</v>
      </c>
      <c r="F25" s="3">
        <v>-163.19999999999999</v>
      </c>
      <c r="G25" s="3">
        <v>90.73</v>
      </c>
      <c r="H25" s="3">
        <v>88</v>
      </c>
      <c r="I25" s="3">
        <v>328.33</v>
      </c>
      <c r="J25" s="3">
        <v>-81.42</v>
      </c>
      <c r="K25" s="3">
        <v>188.14</v>
      </c>
    </row>
    <row r="26" spans="1:11" x14ac:dyDescent="0.2">
      <c r="A26" s="3" t="s">
        <v>21</v>
      </c>
      <c r="B26" s="3">
        <v>116.79</v>
      </c>
      <c r="C26" s="3">
        <v>126.04</v>
      </c>
      <c r="D26" s="3">
        <v>116.04</v>
      </c>
      <c r="E26" s="3">
        <v>122.57</v>
      </c>
      <c r="F26" s="3">
        <v>241.71</v>
      </c>
      <c r="G26" s="3">
        <v>254.74</v>
      </c>
      <c r="H26" s="3">
        <v>278.01</v>
      </c>
      <c r="I26" s="3">
        <v>304.08</v>
      </c>
      <c r="J26" s="3">
        <v>377.15</v>
      </c>
      <c r="K26" s="3">
        <v>600.74</v>
      </c>
    </row>
    <row r="27" spans="1:11" x14ac:dyDescent="0.2">
      <c r="A27" s="3" t="s">
        <v>22</v>
      </c>
      <c r="B27" s="3">
        <v>116.9</v>
      </c>
      <c r="C27" s="3">
        <v>91.53</v>
      </c>
      <c r="D27" s="3">
        <v>42.76</v>
      </c>
      <c r="E27" s="3">
        <v>52.47</v>
      </c>
      <c r="F27" s="3">
        <v>77.86</v>
      </c>
      <c r="G27" s="3">
        <v>68.69</v>
      </c>
      <c r="H27" s="3">
        <v>72.78</v>
      </c>
      <c r="I27" s="3">
        <v>87.16</v>
      </c>
      <c r="J27">
        <v>129.81</v>
      </c>
      <c r="K27">
        <v>290.2</v>
      </c>
    </row>
    <row r="28" spans="1:11" x14ac:dyDescent="0.2">
      <c r="A28" s="3" t="s">
        <v>23</v>
      </c>
      <c r="B28" s="3">
        <v>169.76</v>
      </c>
      <c r="C28" s="3">
        <v>661.96</v>
      </c>
      <c r="D28" s="3">
        <v>753.13</v>
      </c>
      <c r="E28" s="3">
        <v>734.71</v>
      </c>
      <c r="F28" s="3">
        <v>809.38</v>
      </c>
      <c r="G28" s="3">
        <v>1311.06</v>
      </c>
      <c r="H28" s="3">
        <v>1455.99</v>
      </c>
      <c r="I28" s="3">
        <v>1793.56</v>
      </c>
      <c r="J28" s="3">
        <v>1695.72</v>
      </c>
      <c r="K28" s="3">
        <v>1776.55</v>
      </c>
    </row>
    <row r="29" spans="1:11" x14ac:dyDescent="0.2">
      <c r="A29" s="3" t="s">
        <v>24</v>
      </c>
      <c r="B29" s="3">
        <v>200.01</v>
      </c>
      <c r="C29" s="3">
        <v>198.31</v>
      </c>
      <c r="D29" s="3">
        <v>185.87</v>
      </c>
      <c r="E29" s="3">
        <v>260.88</v>
      </c>
      <c r="F29" s="3">
        <v>274.19</v>
      </c>
      <c r="G29" s="3">
        <v>317.27</v>
      </c>
      <c r="H29" s="3">
        <v>377.04</v>
      </c>
      <c r="I29" s="3">
        <v>447.04</v>
      </c>
      <c r="J29" s="3">
        <v>394.73</v>
      </c>
      <c r="K29" s="3">
        <v>396.24</v>
      </c>
    </row>
    <row r="30" spans="1:11" x14ac:dyDescent="0.2">
      <c r="A30" s="3" t="s">
        <v>25</v>
      </c>
      <c r="B30" s="3">
        <v>-5.52</v>
      </c>
      <c r="C30" s="3">
        <v>389.44</v>
      </c>
      <c r="D30" s="3">
        <v>495.56</v>
      </c>
      <c r="E30" s="3">
        <v>408.19</v>
      </c>
      <c r="F30" s="3">
        <v>459.76</v>
      </c>
      <c r="G30" s="3">
        <v>856.69</v>
      </c>
      <c r="H30" s="3">
        <v>935.78</v>
      </c>
      <c r="I30" s="3">
        <v>1203.77</v>
      </c>
      <c r="J30" s="3">
        <v>1150.33</v>
      </c>
      <c r="K30" s="3">
        <v>1278.47</v>
      </c>
    </row>
    <row r="31" spans="1:11" x14ac:dyDescent="0.2">
      <c r="A31" s="3" t="s">
        <v>26</v>
      </c>
      <c r="B31" s="3">
        <v>142</v>
      </c>
      <c r="C31" s="3">
        <v>148.31</v>
      </c>
      <c r="D31">
        <v>148.31</v>
      </c>
      <c r="E31" s="3">
        <v>157.78</v>
      </c>
      <c r="F31">
        <v>248.83</v>
      </c>
      <c r="G31">
        <v>373.25</v>
      </c>
      <c r="H31">
        <v>557.57000000000005</v>
      </c>
      <c r="I31">
        <v>785</v>
      </c>
      <c r="J31">
        <v>738.42</v>
      </c>
      <c r="K31">
        <v>816.34</v>
      </c>
    </row>
    <row r="32" spans="1:11" x14ac:dyDescent="0.2">
      <c r="A32" s="3" t="s">
        <v>27</v>
      </c>
      <c r="B32" s="8">
        <v>0.28000000000000003</v>
      </c>
      <c r="C32" s="8">
        <v>0.25</v>
      </c>
      <c r="D32" s="8">
        <v>0.35</v>
      </c>
      <c r="E32" s="8">
        <v>0.21</v>
      </c>
      <c r="F32" s="8">
        <v>0.35</v>
      </c>
      <c r="G32" s="8">
        <v>0.39</v>
      </c>
      <c r="H32" s="8">
        <v>0.08</v>
      </c>
      <c r="I32" s="8">
        <v>-0.04</v>
      </c>
      <c r="J32" s="8">
        <v>-0.24</v>
      </c>
      <c r="K32" s="8">
        <v>-0.6</v>
      </c>
    </row>
    <row r="34" spans="1:11" x14ac:dyDescent="0.2">
      <c r="A34" s="3" t="s">
        <v>28</v>
      </c>
      <c r="B34" s="5">
        <v>24830.799999999999</v>
      </c>
      <c r="C34" s="5">
        <v>34583.410000000003</v>
      </c>
      <c r="D34" s="5">
        <v>39879.32</v>
      </c>
      <c r="E34" s="5">
        <v>36204.22</v>
      </c>
      <c r="F34" s="5">
        <v>32848.589999999997</v>
      </c>
      <c r="G34" s="5">
        <v>39566.22</v>
      </c>
      <c r="H34" s="5">
        <v>-1914.45</v>
      </c>
      <c r="I34" s="5">
        <v>16993.16</v>
      </c>
      <c r="J34" s="5">
        <v>20734.349999999999</v>
      </c>
      <c r="K34" s="5">
        <v>26937.37</v>
      </c>
    </row>
    <row r="40" spans="1:11" x14ac:dyDescent="0.2">
      <c r="A40" s="1" t="s">
        <v>29</v>
      </c>
    </row>
    <row r="41" spans="1:11" x14ac:dyDescent="0.2">
      <c r="A41" s="4" t="s">
        <v>11</v>
      </c>
      <c r="B41" s="7">
        <v>45199</v>
      </c>
      <c r="C41" s="7">
        <v>45291</v>
      </c>
      <c r="D41" s="7">
        <v>45382</v>
      </c>
      <c r="E41" s="7">
        <v>45473</v>
      </c>
      <c r="F41" s="7">
        <v>45565</v>
      </c>
      <c r="G41" s="7">
        <v>45657</v>
      </c>
      <c r="H41" s="7">
        <v>45747</v>
      </c>
      <c r="I41" s="7">
        <v>45838</v>
      </c>
      <c r="J41" s="7">
        <v>45930</v>
      </c>
      <c r="K41" s="7">
        <v>46022</v>
      </c>
    </row>
    <row r="42" spans="1:11" x14ac:dyDescent="0.2">
      <c r="A42" s="3" t="s">
        <v>12</v>
      </c>
      <c r="B42" s="3">
        <v>3733.78</v>
      </c>
      <c r="C42" s="3">
        <v>3803.92</v>
      </c>
      <c r="D42" s="3">
        <v>3926.94</v>
      </c>
      <c r="E42" s="3">
        <v>4352.07</v>
      </c>
      <c r="F42" s="3">
        <v>4214.45</v>
      </c>
      <c r="G42" s="3">
        <v>4443.5600000000004</v>
      </c>
      <c r="H42" s="3">
        <v>4608.22</v>
      </c>
      <c r="I42" s="3">
        <v>4778.91</v>
      </c>
      <c r="J42" s="3">
        <v>4965.8999999999996</v>
      </c>
      <c r="K42" s="3">
        <v>5112</v>
      </c>
    </row>
    <row r="43" spans="1:11" x14ac:dyDescent="0.2">
      <c r="A43" s="3" t="s">
        <v>30</v>
      </c>
      <c r="B43" s="3">
        <v>3196.69</v>
      </c>
      <c r="C43" s="3">
        <v>3231.54</v>
      </c>
      <c r="D43" s="3">
        <v>3297.34</v>
      </c>
      <c r="E43" s="3">
        <v>3684.69</v>
      </c>
      <c r="F43" s="3">
        <v>3588.16</v>
      </c>
      <c r="G43" s="3">
        <v>3878.83</v>
      </c>
      <c r="H43" s="3">
        <v>3987.27</v>
      </c>
      <c r="I43" s="3">
        <v>4171.97</v>
      </c>
      <c r="J43" s="3">
        <v>4294.12</v>
      </c>
      <c r="K43" s="3">
        <v>4391.33</v>
      </c>
    </row>
    <row r="44" spans="1:11" x14ac:dyDescent="0.2">
      <c r="A44" s="3" t="s">
        <v>20</v>
      </c>
      <c r="B44" s="3">
        <v>75.28</v>
      </c>
      <c r="C44" s="3">
        <v>-31.94</v>
      </c>
      <c r="D44" s="3">
        <v>-177.35</v>
      </c>
      <c r="E44" s="3">
        <v>22.07</v>
      </c>
      <c r="F44" s="3">
        <v>18.8</v>
      </c>
      <c r="G44" s="3">
        <v>45.44</v>
      </c>
      <c r="H44" s="3">
        <v>101.83</v>
      </c>
      <c r="I44" s="3">
        <v>41.17</v>
      </c>
      <c r="J44" s="3">
        <v>38.01</v>
      </c>
      <c r="K44" s="3">
        <v>10.15</v>
      </c>
    </row>
    <row r="45" spans="1:11" x14ac:dyDescent="0.2">
      <c r="A45" s="3" t="s">
        <v>21</v>
      </c>
      <c r="B45" s="3">
        <v>93.93</v>
      </c>
      <c r="C45" s="3">
        <v>85.51</v>
      </c>
      <c r="D45" s="3">
        <v>115.76</v>
      </c>
      <c r="E45" s="3">
        <v>148</v>
      </c>
      <c r="F45" s="3">
        <v>149.33000000000001</v>
      </c>
      <c r="G45" s="3">
        <v>150.32</v>
      </c>
      <c r="H45" s="3">
        <v>153.09</v>
      </c>
      <c r="I45" s="3">
        <v>148.93</v>
      </c>
      <c r="J45" s="3">
        <v>153.28</v>
      </c>
      <c r="K45" s="3">
        <v>159.29</v>
      </c>
    </row>
    <row r="46" spans="1:11" x14ac:dyDescent="0.2">
      <c r="A46" s="3" t="s">
        <v>22</v>
      </c>
      <c r="B46">
        <v>27.56</v>
      </c>
      <c r="C46">
        <v>33.19</v>
      </c>
      <c r="D46">
        <v>42.83</v>
      </c>
      <c r="E46">
        <v>93.6</v>
      </c>
      <c r="F46">
        <v>98.69</v>
      </c>
      <c r="G46">
        <v>57.92</v>
      </c>
      <c r="H46">
        <v>39.99</v>
      </c>
      <c r="I46">
        <v>33.76</v>
      </c>
      <c r="J46">
        <v>33.229999999999997</v>
      </c>
      <c r="K46">
        <v>31.62</v>
      </c>
    </row>
    <row r="47" spans="1:11" x14ac:dyDescent="0.2">
      <c r="A47" s="3" t="s">
        <v>23</v>
      </c>
      <c r="B47" s="3">
        <v>490.88</v>
      </c>
      <c r="C47" s="3">
        <v>421.74</v>
      </c>
      <c r="D47" s="3">
        <v>293.66000000000003</v>
      </c>
      <c r="E47" s="3">
        <v>447.85</v>
      </c>
      <c r="F47" s="3">
        <v>397.07</v>
      </c>
      <c r="G47" s="3">
        <v>401.93</v>
      </c>
      <c r="H47" s="3">
        <v>529.70000000000005</v>
      </c>
      <c r="I47" s="3">
        <v>465.42</v>
      </c>
      <c r="J47" s="3">
        <v>523.28</v>
      </c>
      <c r="K47" s="3">
        <v>539.91</v>
      </c>
    </row>
    <row r="48" spans="1:11" x14ac:dyDescent="0.2">
      <c r="A48" s="3" t="s">
        <v>24</v>
      </c>
      <c r="B48" s="3">
        <v>131.69999999999999</v>
      </c>
      <c r="C48" s="3">
        <v>106.21</v>
      </c>
      <c r="D48" s="3">
        <v>25.95</v>
      </c>
      <c r="E48" s="3">
        <v>133.69999999999999</v>
      </c>
      <c r="F48" s="3">
        <v>37.729999999999997</v>
      </c>
      <c r="G48" s="3">
        <v>102.18</v>
      </c>
      <c r="H48" s="3">
        <v>122.63</v>
      </c>
      <c r="I48" s="3">
        <v>118.98</v>
      </c>
      <c r="J48" s="3">
        <v>126.23</v>
      </c>
      <c r="K48" s="3">
        <v>137.12</v>
      </c>
    </row>
    <row r="49" spans="1:11" x14ac:dyDescent="0.2">
      <c r="A49" s="3" t="s">
        <v>25</v>
      </c>
      <c r="B49" s="3">
        <v>338.24</v>
      </c>
      <c r="C49" s="3">
        <v>278.87</v>
      </c>
      <c r="D49" s="3">
        <v>216.63</v>
      </c>
      <c r="E49" s="3">
        <v>290.32</v>
      </c>
      <c r="F49" s="3">
        <v>364.42</v>
      </c>
      <c r="G49" s="3">
        <v>278.88</v>
      </c>
      <c r="H49" s="3">
        <v>344.85</v>
      </c>
      <c r="I49" s="3">
        <v>334.15</v>
      </c>
      <c r="J49" s="3">
        <v>404.46</v>
      </c>
      <c r="K49" s="3">
        <v>384.61</v>
      </c>
    </row>
    <row r="50" spans="1:11" x14ac:dyDescent="0.2">
      <c r="A50" s="3" t="s">
        <v>31</v>
      </c>
      <c r="B50" s="3">
        <v>537.09</v>
      </c>
      <c r="C50" s="3">
        <v>572.38</v>
      </c>
      <c r="D50" s="3">
        <v>629.6</v>
      </c>
      <c r="E50" s="3">
        <v>667.38</v>
      </c>
      <c r="F50" s="3">
        <v>626.29</v>
      </c>
      <c r="G50" s="3">
        <v>564.73</v>
      </c>
      <c r="H50" s="3">
        <v>620.95000000000005</v>
      </c>
      <c r="I50" s="3">
        <v>606.94000000000005</v>
      </c>
      <c r="J50" s="3">
        <v>671.78</v>
      </c>
      <c r="K50" s="3">
        <v>720.67</v>
      </c>
    </row>
    <row r="51" spans="1:11" x14ac:dyDescent="0.2">
      <c r="A51" s="3" t="s">
        <v>28</v>
      </c>
      <c r="B51" s="5">
        <v>1238.68</v>
      </c>
      <c r="C51" s="5">
        <v>6765.23</v>
      </c>
      <c r="D51" s="5">
        <v>12106.31</v>
      </c>
      <c r="E51" s="3">
        <v>624.13</v>
      </c>
      <c r="F51" s="5">
        <v>5696.47</v>
      </c>
      <c r="G51" s="5">
        <v>5014.1099999999997</v>
      </c>
      <c r="H51" s="5">
        <v>7688.78</v>
      </c>
      <c r="I51" s="5">
        <v>8538.01</v>
      </c>
      <c r="J51" s="5">
        <v>4774.12</v>
      </c>
      <c r="K51" s="5">
        <v>6982.91</v>
      </c>
    </row>
    <row r="55" spans="1:11" x14ac:dyDescent="0.2">
      <c r="A55" s="1" t="s">
        <v>32</v>
      </c>
    </row>
    <row r="56" spans="1:11" x14ac:dyDescent="0.2">
      <c r="A56" s="4" t="s">
        <v>11</v>
      </c>
      <c r="B56" s="7">
        <v>42460</v>
      </c>
      <c r="C56" s="7">
        <v>42825</v>
      </c>
      <c r="D56" s="7">
        <v>43190</v>
      </c>
      <c r="E56" s="7">
        <v>43555</v>
      </c>
      <c r="F56" s="7">
        <v>43921</v>
      </c>
      <c r="G56" s="7">
        <v>44286</v>
      </c>
      <c r="H56" s="7">
        <v>44651</v>
      </c>
      <c r="I56" s="7">
        <v>45016</v>
      </c>
      <c r="J56" s="7">
        <v>45382</v>
      </c>
      <c r="K56" s="7">
        <v>45747</v>
      </c>
    </row>
    <row r="57" spans="1:11" x14ac:dyDescent="0.2">
      <c r="A57" s="3" t="s">
        <v>33</v>
      </c>
      <c r="B57" s="3">
        <v>63.11</v>
      </c>
      <c r="C57" s="3">
        <v>63.11</v>
      </c>
      <c r="D57" s="3">
        <v>63.11</v>
      </c>
      <c r="E57" s="3">
        <v>63.11</v>
      </c>
      <c r="F57" s="3">
        <v>92.16</v>
      </c>
      <c r="G57" s="3">
        <v>92.16</v>
      </c>
      <c r="H57" s="3">
        <v>92.16</v>
      </c>
      <c r="I57" s="3">
        <v>92.9</v>
      </c>
      <c r="J57" s="3">
        <v>95.28</v>
      </c>
      <c r="K57" s="3">
        <v>98.95</v>
      </c>
    </row>
    <row r="58" spans="1:11" x14ac:dyDescent="0.2">
      <c r="A58" s="3" t="s">
        <v>34</v>
      </c>
      <c r="B58" s="3">
        <v>6184.06</v>
      </c>
      <c r="C58" s="3">
        <v>6202.39</v>
      </c>
      <c r="D58" s="3">
        <v>6968.49</v>
      </c>
      <c r="E58" s="3">
        <v>7268.58</v>
      </c>
      <c r="F58" s="3">
        <v>13722.7</v>
      </c>
      <c r="G58" s="3">
        <v>14442.35</v>
      </c>
      <c r="H58" s="3">
        <v>15049.78</v>
      </c>
      <c r="I58" s="3">
        <v>16183.81</v>
      </c>
      <c r="J58" s="3">
        <v>15961.51</v>
      </c>
      <c r="K58" s="3">
        <v>19902.13</v>
      </c>
    </row>
    <row r="59" spans="1:11" x14ac:dyDescent="0.2">
      <c r="A59" s="3" t="s">
        <v>35</v>
      </c>
      <c r="B59">
        <v>1354.05</v>
      </c>
      <c r="C59">
        <v>786.56</v>
      </c>
      <c r="D59">
        <v>1067.58</v>
      </c>
      <c r="E59">
        <v>1141.0999999999999</v>
      </c>
      <c r="F59">
        <v>1586.32</v>
      </c>
      <c r="G59">
        <v>1633.55</v>
      </c>
      <c r="H59">
        <v>1412.01</v>
      </c>
      <c r="I59">
        <v>1600.04</v>
      </c>
      <c r="J59">
        <v>3477.22</v>
      </c>
      <c r="K59">
        <v>2392.6799999999998</v>
      </c>
    </row>
    <row r="60" spans="1:11" x14ac:dyDescent="0.2">
      <c r="A60" s="3" t="s">
        <v>36</v>
      </c>
      <c r="B60" s="3">
        <v>2293.54</v>
      </c>
      <c r="C60" s="3">
        <v>2499.35</v>
      </c>
      <c r="D60" s="3">
        <v>2361.58</v>
      </c>
      <c r="E60" s="3">
        <v>2407.89</v>
      </c>
      <c r="F60" s="3">
        <v>3071.86</v>
      </c>
      <c r="G60" s="3">
        <v>4049.76</v>
      </c>
      <c r="H60" s="3">
        <v>4520.92</v>
      </c>
      <c r="I60" s="3">
        <v>4885.74</v>
      </c>
      <c r="J60" s="3">
        <v>8344.7800000000007</v>
      </c>
      <c r="K60" s="3">
        <v>9436.86</v>
      </c>
    </row>
    <row r="61" spans="1:11" x14ac:dyDescent="0.2">
      <c r="A61" s="1" t="s">
        <v>37</v>
      </c>
      <c r="B61" s="3">
        <v>9894.76</v>
      </c>
      <c r="C61" s="3">
        <v>9551.41</v>
      </c>
      <c r="D61" s="3">
        <v>10460.76</v>
      </c>
      <c r="E61" s="3">
        <v>10880.68</v>
      </c>
      <c r="F61" s="3">
        <v>18473.04</v>
      </c>
      <c r="G61" s="3">
        <v>20217.82</v>
      </c>
      <c r="H61" s="3">
        <v>21074.87</v>
      </c>
      <c r="I61" s="3">
        <v>22762.49</v>
      </c>
      <c r="J61" s="3">
        <v>27878.79</v>
      </c>
      <c r="K61" s="3">
        <v>31830.62</v>
      </c>
    </row>
    <row r="62" spans="1:11" x14ac:dyDescent="0.2">
      <c r="A62" s="3" t="s">
        <v>38</v>
      </c>
      <c r="B62" s="3">
        <v>4661.8</v>
      </c>
      <c r="C62" s="3">
        <v>4572.59</v>
      </c>
      <c r="D62" s="3">
        <v>4798.18</v>
      </c>
      <c r="E62" s="3">
        <v>4913.3100000000004</v>
      </c>
      <c r="F62" s="3">
        <v>11656.04</v>
      </c>
      <c r="G62" s="3">
        <v>12023.13</v>
      </c>
      <c r="H62" s="3">
        <v>12599.35</v>
      </c>
      <c r="I62" s="3">
        <v>13070.04</v>
      </c>
      <c r="J62" s="3">
        <v>19357.900000000001</v>
      </c>
      <c r="K62" s="3">
        <v>21476.84</v>
      </c>
    </row>
    <row r="63" spans="1:11" x14ac:dyDescent="0.2">
      <c r="A63" s="3" t="s">
        <v>39</v>
      </c>
      <c r="B63" s="3">
        <v>39.42</v>
      </c>
      <c r="C63" s="3">
        <v>63.19</v>
      </c>
      <c r="D63" s="3">
        <v>135.16</v>
      </c>
      <c r="E63" s="3">
        <v>424.41</v>
      </c>
      <c r="F63" s="3">
        <v>95.35</v>
      </c>
      <c r="G63" s="3">
        <v>112.85</v>
      </c>
      <c r="H63" s="3">
        <v>246.97</v>
      </c>
      <c r="I63" s="3">
        <v>294.89999999999998</v>
      </c>
      <c r="J63" s="3">
        <v>189.6</v>
      </c>
      <c r="K63" s="3">
        <v>218.1</v>
      </c>
    </row>
    <row r="64" spans="1:11" x14ac:dyDescent="0.2">
      <c r="A64" s="3" t="s">
        <v>40</v>
      </c>
      <c r="B64" s="3">
        <v>1365.94</v>
      </c>
      <c r="C64">
        <v>1451.04</v>
      </c>
      <c r="D64" s="3">
        <v>1161.33</v>
      </c>
      <c r="E64" s="3">
        <v>1187.6600000000001</v>
      </c>
      <c r="F64" s="3">
        <v>1322.85</v>
      </c>
      <c r="G64" s="3">
        <v>805.89</v>
      </c>
      <c r="H64" s="3">
        <v>797.28</v>
      </c>
      <c r="I64" s="3">
        <v>1432.97</v>
      </c>
      <c r="J64" s="3">
        <v>870.55</v>
      </c>
      <c r="K64" s="3">
        <v>968.67</v>
      </c>
    </row>
    <row r="65" spans="1:11" x14ac:dyDescent="0.2">
      <c r="A65" s="3" t="s">
        <v>41</v>
      </c>
      <c r="B65" s="3">
        <v>3827.6</v>
      </c>
      <c r="C65" s="3">
        <v>3464.59</v>
      </c>
      <c r="D65" s="3">
        <v>4366.09</v>
      </c>
      <c r="E65" s="3">
        <v>4355.3</v>
      </c>
      <c r="F65" s="3">
        <v>5398.8</v>
      </c>
      <c r="G65" s="3">
        <v>7275.95</v>
      </c>
      <c r="H65" s="3">
        <v>7431.27</v>
      </c>
      <c r="I65" s="3">
        <v>7964.58</v>
      </c>
      <c r="J65" s="3">
        <v>7460.74</v>
      </c>
      <c r="K65" s="3">
        <v>9167.01</v>
      </c>
    </row>
    <row r="66" spans="1:11" x14ac:dyDescent="0.2">
      <c r="A66" s="1" t="s">
        <v>37</v>
      </c>
      <c r="B66" s="3">
        <v>9894.76</v>
      </c>
      <c r="C66" s="3">
        <v>9551.41</v>
      </c>
      <c r="D66" s="3">
        <v>10460.76</v>
      </c>
      <c r="E66" s="3">
        <v>10880.68</v>
      </c>
      <c r="F66" s="3">
        <v>18473.04</v>
      </c>
      <c r="G66" s="3">
        <v>20217.82</v>
      </c>
      <c r="H66" s="3">
        <v>21074.87</v>
      </c>
      <c r="I66" s="3">
        <v>22762.49</v>
      </c>
      <c r="J66" s="3">
        <v>27878.79</v>
      </c>
      <c r="K66" s="3">
        <v>31830.62</v>
      </c>
    </row>
    <row r="67" spans="1:11" x14ac:dyDescent="0.2">
      <c r="A67" s="3" t="s">
        <v>42</v>
      </c>
      <c r="B67" s="3">
        <v>592.42999999999995</v>
      </c>
      <c r="C67" s="3">
        <v>592.45000000000005</v>
      </c>
      <c r="D67" s="3">
        <v>648.28</v>
      </c>
      <c r="E67" s="3">
        <v>680.55</v>
      </c>
      <c r="F67" s="3">
        <v>922.41</v>
      </c>
      <c r="G67" s="3">
        <v>761.32</v>
      </c>
      <c r="H67" s="3">
        <v>835.15</v>
      </c>
      <c r="I67" s="3">
        <v>798.33</v>
      </c>
      <c r="J67" s="3">
        <v>896.75</v>
      </c>
      <c r="K67" s="3">
        <v>869.79</v>
      </c>
    </row>
    <row r="68" spans="1:11" x14ac:dyDescent="0.2">
      <c r="A68" s="3" t="s">
        <v>43</v>
      </c>
      <c r="B68">
        <v>1629.01</v>
      </c>
      <c r="C68">
        <v>1452.96</v>
      </c>
      <c r="D68">
        <v>1448.31</v>
      </c>
      <c r="E68">
        <v>1608.54</v>
      </c>
      <c r="F68">
        <v>1712.03</v>
      </c>
      <c r="G68">
        <v>2249.16</v>
      </c>
      <c r="H68">
        <v>2266.5100000000002</v>
      </c>
      <c r="I68">
        <v>2701.67</v>
      </c>
      <c r="J68">
        <v>2769.35</v>
      </c>
      <c r="K68">
        <v>3599.91</v>
      </c>
    </row>
    <row r="69" spans="1:11" x14ac:dyDescent="0.2">
      <c r="A69" s="3" t="s">
        <v>44</v>
      </c>
      <c r="B69" s="3">
        <v>501.03</v>
      </c>
      <c r="C69" s="3">
        <v>574.82000000000005</v>
      </c>
      <c r="D69" s="3">
        <v>1238.1400000000001</v>
      </c>
      <c r="E69" s="3">
        <v>1033.6099999999999</v>
      </c>
      <c r="F69" s="3">
        <v>1621.46</v>
      </c>
      <c r="G69" s="3">
        <v>3074.88</v>
      </c>
      <c r="H69" s="3">
        <v>2599.89</v>
      </c>
      <c r="I69" s="3">
        <v>2796.94</v>
      </c>
      <c r="J69" s="3">
        <v>2454.4899999999998</v>
      </c>
      <c r="K69" s="3">
        <v>2817.86</v>
      </c>
    </row>
    <row r="70" spans="1:11" x14ac:dyDescent="0.2">
      <c r="A70" s="3" t="s">
        <v>45</v>
      </c>
      <c r="B70" s="3">
        <v>631129729</v>
      </c>
      <c r="C70" s="3">
        <v>631129729</v>
      </c>
      <c r="D70" s="3">
        <v>631129729</v>
      </c>
      <c r="E70" s="3">
        <v>631129729</v>
      </c>
      <c r="F70" s="3">
        <v>921551715</v>
      </c>
      <c r="G70" s="3">
        <v>921551715</v>
      </c>
      <c r="H70" s="3">
        <v>921551715</v>
      </c>
      <c r="I70" s="3">
        <v>929011650</v>
      </c>
      <c r="J70" s="3">
        <v>952834816</v>
      </c>
      <c r="K70" s="3">
        <v>989498558</v>
      </c>
    </row>
    <row r="71" spans="1:11" x14ac:dyDescent="0.2">
      <c r="A71" s="3" t="s">
        <v>46</v>
      </c>
    </row>
    <row r="72" spans="1:11" x14ac:dyDescent="0.2">
      <c r="A72" s="3" t="s">
        <v>47</v>
      </c>
      <c r="B72" s="3">
        <v>1</v>
      </c>
      <c r="C72" s="3">
        <v>1</v>
      </c>
      <c r="D72" s="3">
        <v>1</v>
      </c>
      <c r="E72" s="3">
        <v>1</v>
      </c>
      <c r="F72" s="3">
        <v>1</v>
      </c>
      <c r="G72" s="3">
        <v>1</v>
      </c>
      <c r="H72" s="3">
        <v>1</v>
      </c>
      <c r="I72" s="3">
        <v>1</v>
      </c>
      <c r="J72" s="3">
        <v>1</v>
      </c>
      <c r="K72" s="3">
        <v>1</v>
      </c>
    </row>
    <row r="73" spans="1:11" x14ac:dyDescent="0.2">
      <c r="H73" s="5">
        <v>-4101.26</v>
      </c>
      <c r="I73" s="5">
        <v>22304.78</v>
      </c>
      <c r="J73" s="5">
        <v>17441.509999999998</v>
      </c>
      <c r="K73" s="5">
        <v>6045.18</v>
      </c>
    </row>
    <row r="80" spans="1:11" x14ac:dyDescent="0.2">
      <c r="A80" s="1" t="s">
        <v>48</v>
      </c>
    </row>
    <row r="81" spans="1:11" x14ac:dyDescent="0.2">
      <c r="A81" s="4" t="s">
        <v>11</v>
      </c>
      <c r="B81" s="7">
        <v>42460</v>
      </c>
      <c r="C81" s="7">
        <v>42825</v>
      </c>
      <c r="D81" s="7">
        <v>43190</v>
      </c>
      <c r="E81" s="7">
        <v>43555</v>
      </c>
      <c r="F81" s="7">
        <v>43921</v>
      </c>
      <c r="G81" s="7">
        <v>44286</v>
      </c>
      <c r="H81" s="7">
        <v>44651</v>
      </c>
      <c r="I81" s="7">
        <v>45016</v>
      </c>
      <c r="J81" s="7">
        <v>45382</v>
      </c>
      <c r="K81" s="7">
        <v>45747</v>
      </c>
    </row>
    <row r="82" spans="1:11" x14ac:dyDescent="0.2">
      <c r="A82" s="3" t="s">
        <v>49</v>
      </c>
      <c r="B82" s="3">
        <v>115.98</v>
      </c>
      <c r="C82" s="3">
        <v>741.2</v>
      </c>
      <c r="D82" s="3">
        <v>355.58</v>
      </c>
      <c r="E82" s="3">
        <v>209.87</v>
      </c>
      <c r="F82" s="3">
        <v>1082.23</v>
      </c>
      <c r="G82" s="3">
        <v>1656.37</v>
      </c>
      <c r="H82" s="3">
        <v>1515.81</v>
      </c>
      <c r="I82" s="3">
        <v>1461.29</v>
      </c>
      <c r="J82" s="3">
        <v>1936.68</v>
      </c>
      <c r="K82" s="3">
        <v>2056.65</v>
      </c>
    </row>
    <row r="83" spans="1:11" x14ac:dyDescent="0.2">
      <c r="A83" s="3" t="s">
        <v>50</v>
      </c>
      <c r="B83" s="3">
        <v>144.62</v>
      </c>
      <c r="C83" s="3">
        <v>145.05000000000001</v>
      </c>
      <c r="D83" s="3">
        <v>-31.1</v>
      </c>
      <c r="E83" s="3">
        <v>53.17</v>
      </c>
      <c r="F83" s="3">
        <v>-622.04</v>
      </c>
      <c r="G83" s="3">
        <v>-346.5</v>
      </c>
      <c r="H83" s="3">
        <v>-1317.11</v>
      </c>
      <c r="I83" s="3">
        <v>-833.61</v>
      </c>
      <c r="J83" s="3">
        <v>-1910.77</v>
      </c>
      <c r="K83" s="3">
        <v>-2303.48</v>
      </c>
    </row>
    <row r="84" spans="1:11" x14ac:dyDescent="0.2">
      <c r="A84" s="3" t="s">
        <v>51</v>
      </c>
      <c r="B84" s="3">
        <v>-281.8</v>
      </c>
      <c r="C84" s="3">
        <v>-815.84</v>
      </c>
      <c r="D84" s="3">
        <v>-30.39</v>
      </c>
      <c r="E84" s="3">
        <v>-223.73</v>
      </c>
      <c r="F84" s="3">
        <v>-308.33</v>
      </c>
      <c r="G84" s="3">
        <v>-426.03</v>
      </c>
      <c r="H84" s="3">
        <v>-994.77</v>
      </c>
      <c r="I84" s="3">
        <v>-714.4</v>
      </c>
      <c r="J84" s="3">
        <v>255.55</v>
      </c>
      <c r="K84" s="3">
        <v>452.7</v>
      </c>
    </row>
    <row r="85" spans="1:11" x14ac:dyDescent="0.2">
      <c r="A85" s="3" t="s">
        <v>52</v>
      </c>
      <c r="B85" s="3">
        <v>-21.2</v>
      </c>
      <c r="C85" s="3">
        <v>70.41</v>
      </c>
      <c r="D85" s="3">
        <v>294.08999999999997</v>
      </c>
      <c r="E85" s="3">
        <v>39.31</v>
      </c>
      <c r="F85" s="3">
        <v>151.86000000000001</v>
      </c>
      <c r="G85" s="3">
        <v>883.84</v>
      </c>
      <c r="H85" s="3">
        <v>-796.07</v>
      </c>
      <c r="I85" s="3">
        <v>-86.72</v>
      </c>
      <c r="J85" s="3">
        <v>281.45999999999998</v>
      </c>
      <c r="K85" s="3">
        <v>205.87</v>
      </c>
    </row>
    <row r="90" spans="1:11" x14ac:dyDescent="0.2">
      <c r="A90" s="1" t="s">
        <v>53</v>
      </c>
      <c r="B90" s="3">
        <v>119.76</v>
      </c>
      <c r="C90" s="3">
        <v>148.69999999999999</v>
      </c>
      <c r="D90" s="3">
        <v>255.57</v>
      </c>
      <c r="E90" s="3">
        <v>201.45</v>
      </c>
      <c r="F90" s="3">
        <v>291.23</v>
      </c>
      <c r="G90" s="3">
        <v>631.05999999999995</v>
      </c>
      <c r="H90" s="3">
        <v>767.86</v>
      </c>
      <c r="I90" s="3">
        <v>700.15</v>
      </c>
      <c r="J90" s="3">
        <v>1082.74</v>
      </c>
      <c r="K90" s="3">
        <v>1001.9</v>
      </c>
    </row>
    <row r="92" spans="1:11" x14ac:dyDescent="0.2">
      <c r="A92" s="1" t="s">
        <v>54</v>
      </c>
    </row>
    <row r="93" spans="1:11" x14ac:dyDescent="0.2">
      <c r="A93" s="3" t="s">
        <v>55</v>
      </c>
      <c r="B93" s="3">
        <v>65.540000000000006</v>
      </c>
      <c r="C93" s="3">
        <v>65.540000000000006</v>
      </c>
      <c r="D93" s="3">
        <v>65.540000000000006</v>
      </c>
      <c r="E93" s="3">
        <v>65.540000000000006</v>
      </c>
      <c r="F93" s="3">
        <v>95.7</v>
      </c>
      <c r="G93" s="3">
        <v>95.7</v>
      </c>
      <c r="H93" s="3">
        <v>95.7</v>
      </c>
      <c r="I93" s="3">
        <v>96.47</v>
      </c>
      <c r="J93" s="3">
        <v>98.95</v>
      </c>
      <c r="K93" s="3">
        <v>98.95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57D8E-DA42-4548-9677-1E7C251E71AF}">
  <dimension ref="B2:N35"/>
  <sheetViews>
    <sheetView zoomScale="125" zoomScaleNormal="125" workbookViewId="0">
      <selection activeCell="N29" sqref="N29"/>
    </sheetView>
  </sheetViews>
  <sheetFormatPr baseColWidth="10" defaultRowHeight="15" x14ac:dyDescent="0.2"/>
  <cols>
    <col min="2" max="2" width="28.1640625" customWidth="1"/>
    <col min="3" max="14" width="8.83203125" customWidth="1"/>
  </cols>
  <sheetData>
    <row r="2" spans="2:14" x14ac:dyDescent="0.2">
      <c r="C2" s="6">
        <v>40603</v>
      </c>
      <c r="D2" s="6">
        <v>40969</v>
      </c>
      <c r="E2" s="6">
        <v>41334</v>
      </c>
      <c r="F2" s="6">
        <v>41699</v>
      </c>
      <c r="G2" s="6">
        <v>42064</v>
      </c>
      <c r="H2" s="6">
        <v>42430</v>
      </c>
      <c r="I2" s="6">
        <v>42795</v>
      </c>
      <c r="J2" s="6">
        <v>43160</v>
      </c>
      <c r="K2" s="6">
        <v>43525</v>
      </c>
      <c r="L2" s="6">
        <v>43891</v>
      </c>
      <c r="M2" s="6">
        <v>44256</v>
      </c>
      <c r="N2" s="6">
        <v>44621</v>
      </c>
    </row>
    <row r="3" spans="2:14" x14ac:dyDescent="0.2">
      <c r="B3" t="s">
        <v>88</v>
      </c>
      <c r="C3" s="35">
        <v>11240</v>
      </c>
      <c r="D3" s="35">
        <v>18384</v>
      </c>
      <c r="E3" s="35">
        <v>22163</v>
      </c>
      <c r="F3" s="35">
        <v>36151</v>
      </c>
      <c r="G3" s="35">
        <v>35531</v>
      </c>
      <c r="H3" s="35">
        <v>37900</v>
      </c>
      <c r="I3" s="35">
        <v>30199</v>
      </c>
      <c r="J3" s="35">
        <v>23857</v>
      </c>
      <c r="K3" s="35">
        <v>18891</v>
      </c>
      <c r="L3" s="35">
        <v>26633</v>
      </c>
      <c r="M3" s="35">
        <v>29001</v>
      </c>
      <c r="N3" s="35">
        <v>14283</v>
      </c>
    </row>
    <row r="4" spans="2:14" x14ac:dyDescent="0.2">
      <c r="B4" t="s">
        <v>89</v>
      </c>
      <c r="C4" s="35">
        <v>16680</v>
      </c>
      <c r="D4" s="35">
        <v>22432</v>
      </c>
      <c r="E4" s="36">
        <v>24406.6</v>
      </c>
      <c r="F4" s="36">
        <v>36303.199999999997</v>
      </c>
      <c r="G4" s="36">
        <v>43396.3</v>
      </c>
      <c r="H4" s="36">
        <v>38626.5</v>
      </c>
      <c r="I4" s="36">
        <v>28839.3</v>
      </c>
      <c r="J4" s="36">
        <v>33312.400000000001</v>
      </c>
      <c r="K4" s="36">
        <v>28769.8</v>
      </c>
      <c r="L4" s="36">
        <v>23351.9</v>
      </c>
      <c r="M4" s="36">
        <v>31198.5</v>
      </c>
      <c r="N4" s="36">
        <v>26666.799999999999</v>
      </c>
    </row>
    <row r="5" spans="2:14" x14ac:dyDescent="0.2">
      <c r="B5" t="s">
        <v>42</v>
      </c>
      <c r="C5" s="35">
        <v>-1422</v>
      </c>
      <c r="D5" s="35">
        <v>-6659</v>
      </c>
      <c r="E5" s="35">
        <v>-5177</v>
      </c>
      <c r="F5">
        <v>445</v>
      </c>
      <c r="G5" s="35">
        <v>-3179</v>
      </c>
      <c r="H5" s="35">
        <v>-2223</v>
      </c>
      <c r="I5" s="35">
        <v>-4152</v>
      </c>
      <c r="J5" s="35">
        <v>-10688</v>
      </c>
      <c r="K5" s="35">
        <v>-9109</v>
      </c>
      <c r="L5" s="35">
        <v>9950</v>
      </c>
      <c r="M5" s="35">
        <v>-5505</v>
      </c>
      <c r="N5">
        <v>337</v>
      </c>
    </row>
    <row r="6" spans="2:14" x14ac:dyDescent="0.2">
      <c r="B6" t="s">
        <v>43</v>
      </c>
      <c r="C6" s="35">
        <v>-2411</v>
      </c>
      <c r="D6" s="35">
        <v>-2719</v>
      </c>
      <c r="E6" s="35">
        <v>-2656</v>
      </c>
      <c r="F6" s="35">
        <v>-2853</v>
      </c>
      <c r="G6" s="35">
        <v>-3692</v>
      </c>
      <c r="H6" s="35">
        <v>-5743</v>
      </c>
      <c r="I6" s="35">
        <v>-6621</v>
      </c>
      <c r="J6" s="35">
        <v>-3560</v>
      </c>
      <c r="K6" s="35">
        <v>2069</v>
      </c>
      <c r="L6" s="35">
        <v>2326</v>
      </c>
      <c r="M6" s="35">
        <v>3814</v>
      </c>
      <c r="N6">
        <v>597</v>
      </c>
    </row>
    <row r="7" spans="2:14" x14ac:dyDescent="0.2">
      <c r="B7" t="s">
        <v>90</v>
      </c>
      <c r="C7">
        <v>344</v>
      </c>
      <c r="D7" s="35">
        <v>5867</v>
      </c>
      <c r="E7" s="35">
        <v>8132</v>
      </c>
      <c r="F7" s="35">
        <v>4694</v>
      </c>
      <c r="G7" s="35">
        <v>3598</v>
      </c>
      <c r="H7" s="35">
        <v>3947</v>
      </c>
      <c r="I7" s="35">
        <v>9301</v>
      </c>
      <c r="J7" s="35">
        <v>7320</v>
      </c>
      <c r="K7" s="35">
        <v>-4692</v>
      </c>
      <c r="L7" s="35">
        <v>-8085</v>
      </c>
      <c r="M7" s="35">
        <v>5748</v>
      </c>
      <c r="N7" s="35">
        <v>-7012</v>
      </c>
    </row>
    <row r="8" spans="2:14" x14ac:dyDescent="0.2">
      <c r="B8" t="s">
        <v>91</v>
      </c>
      <c r="C8">
        <v>0</v>
      </c>
      <c r="D8">
        <v>0</v>
      </c>
      <c r="E8">
        <v>0</v>
      </c>
      <c r="F8">
        <v>0</v>
      </c>
      <c r="G8">
        <v>0</v>
      </c>
      <c r="H8">
        <v>-520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2:14" x14ac:dyDescent="0.2">
      <c r="B9" t="s">
        <v>92</v>
      </c>
      <c r="C9">
        <v>-559</v>
      </c>
      <c r="D9" s="35">
        <v>1231</v>
      </c>
      <c r="E9">
        <v>-303</v>
      </c>
      <c r="F9" s="35">
        <v>1870</v>
      </c>
      <c r="G9">
        <v>-398</v>
      </c>
      <c r="H9" s="35">
        <v>5852</v>
      </c>
      <c r="I9" s="35">
        <v>4727</v>
      </c>
      <c r="J9">
        <v>494</v>
      </c>
      <c r="K9" s="35">
        <v>4512</v>
      </c>
      <c r="L9">
        <v>875</v>
      </c>
      <c r="M9" s="35">
        <v>-4150</v>
      </c>
      <c r="N9" s="35">
        <v>-4396</v>
      </c>
    </row>
    <row r="10" spans="2:14" x14ac:dyDescent="0.2">
      <c r="B10" t="s">
        <v>93</v>
      </c>
      <c r="C10" s="35">
        <v>-4048</v>
      </c>
      <c r="D10" s="35">
        <v>-2280</v>
      </c>
      <c r="E10">
        <v>-3</v>
      </c>
      <c r="F10" s="35">
        <v>4157</v>
      </c>
      <c r="G10" s="35">
        <v>-3672</v>
      </c>
      <c r="H10" s="35">
        <v>1313</v>
      </c>
      <c r="I10" s="35">
        <v>3254</v>
      </c>
      <c r="J10" s="35">
        <v>-6434</v>
      </c>
      <c r="K10" s="35">
        <v>-7221</v>
      </c>
      <c r="L10" s="35">
        <v>5065</v>
      </c>
      <c r="M10">
        <v>-93</v>
      </c>
      <c r="N10" s="35">
        <v>-10474</v>
      </c>
    </row>
    <row r="11" spans="2:14" x14ac:dyDescent="0.2">
      <c r="B11" t="s">
        <v>94</v>
      </c>
      <c r="C11" s="35">
        <v>-1391</v>
      </c>
      <c r="D11" s="35">
        <v>-1768</v>
      </c>
      <c r="E11" s="35">
        <v>-2240</v>
      </c>
      <c r="F11" s="35">
        <v>-4308</v>
      </c>
      <c r="G11" s="35">
        <v>-4194</v>
      </c>
      <c r="H11" s="35">
        <v>-2040</v>
      </c>
      <c r="I11" s="35">
        <v>-1895</v>
      </c>
      <c r="J11" s="35">
        <v>-3021</v>
      </c>
      <c r="K11" s="35">
        <v>-2659</v>
      </c>
      <c r="L11" s="35">
        <v>-1785</v>
      </c>
      <c r="M11" s="35">
        <v>-2105</v>
      </c>
      <c r="N11" s="35">
        <v>-1910</v>
      </c>
    </row>
    <row r="12" spans="2:14" x14ac:dyDescent="0.2">
      <c r="B12" t="s">
        <v>95</v>
      </c>
      <c r="C12" s="35">
        <v>-7023</v>
      </c>
      <c r="D12" s="35">
        <v>-19464</v>
      </c>
      <c r="E12" s="35">
        <v>-22969</v>
      </c>
      <c r="F12" s="35">
        <v>-27991</v>
      </c>
      <c r="G12" s="35">
        <v>-36232</v>
      </c>
      <c r="H12" s="35">
        <v>-36694</v>
      </c>
      <c r="I12" s="35">
        <v>-39571</v>
      </c>
      <c r="J12" s="35">
        <v>-25139</v>
      </c>
      <c r="K12" s="35">
        <v>-20878</v>
      </c>
      <c r="L12" s="35">
        <v>-33115</v>
      </c>
      <c r="M12" s="35">
        <v>-25672</v>
      </c>
      <c r="N12" s="35">
        <v>-4444</v>
      </c>
    </row>
    <row r="13" spans="2:14" x14ac:dyDescent="0.2">
      <c r="B13" t="s">
        <v>96</v>
      </c>
      <c r="C13" s="35">
        <v>-8124</v>
      </c>
      <c r="D13" s="35">
        <v>-13876</v>
      </c>
      <c r="E13" s="36">
        <v>-18863.5</v>
      </c>
      <c r="F13" s="36">
        <v>-26974.9</v>
      </c>
      <c r="G13" s="36">
        <v>-31961.4</v>
      </c>
      <c r="H13" s="36">
        <v>-31502.9</v>
      </c>
      <c r="I13" s="36">
        <v>-16071.4</v>
      </c>
      <c r="J13" s="36">
        <v>-35078.1</v>
      </c>
      <c r="K13" s="36">
        <v>-35303.1</v>
      </c>
      <c r="L13" s="36">
        <v>-29700.6</v>
      </c>
      <c r="M13" s="36">
        <v>-20206.5</v>
      </c>
      <c r="N13" s="36">
        <v>-15169.7</v>
      </c>
    </row>
    <row r="14" spans="2:14" x14ac:dyDescent="0.2">
      <c r="B14" t="s">
        <v>97</v>
      </c>
      <c r="C14">
        <v>11</v>
      </c>
      <c r="D14">
        <v>93</v>
      </c>
      <c r="E14">
        <v>37</v>
      </c>
      <c r="F14">
        <v>50</v>
      </c>
      <c r="G14">
        <v>74</v>
      </c>
      <c r="H14">
        <v>59</v>
      </c>
      <c r="I14">
        <v>53</v>
      </c>
      <c r="J14">
        <v>30</v>
      </c>
      <c r="K14">
        <v>67</v>
      </c>
      <c r="L14">
        <v>171</v>
      </c>
      <c r="M14">
        <v>351</v>
      </c>
      <c r="N14">
        <v>230</v>
      </c>
    </row>
    <row r="15" spans="2:14" x14ac:dyDescent="0.2">
      <c r="B15" t="s">
        <v>98</v>
      </c>
      <c r="C15">
        <v>-147</v>
      </c>
      <c r="D15" s="35">
        <v>-5857</v>
      </c>
      <c r="E15">
        <v>73</v>
      </c>
      <c r="F15">
        <v>-429</v>
      </c>
      <c r="G15" s="35">
        <v>-5461</v>
      </c>
      <c r="H15" s="35">
        <v>-4728</v>
      </c>
      <c r="I15">
        <v>-6</v>
      </c>
      <c r="J15">
        <v>-329</v>
      </c>
      <c r="K15">
        <v>-130</v>
      </c>
      <c r="L15" s="35">
        <v>-1439</v>
      </c>
      <c r="M15" s="35">
        <v>-7530</v>
      </c>
      <c r="N15" s="35">
        <v>-3008</v>
      </c>
    </row>
    <row r="16" spans="2:14" x14ac:dyDescent="0.2">
      <c r="B16" t="s">
        <v>99</v>
      </c>
      <c r="C16">
        <v>7</v>
      </c>
      <c r="D16">
        <v>84</v>
      </c>
      <c r="E16">
        <v>34</v>
      </c>
      <c r="F16">
        <v>4</v>
      </c>
      <c r="G16">
        <v>42</v>
      </c>
      <c r="H16">
        <v>89</v>
      </c>
      <c r="I16" s="35">
        <v>1965</v>
      </c>
      <c r="J16" s="35">
        <v>2381</v>
      </c>
      <c r="K16" s="35">
        <v>5644</v>
      </c>
      <c r="L16">
        <v>21</v>
      </c>
      <c r="M16">
        <v>226</v>
      </c>
      <c r="N16">
        <v>104</v>
      </c>
    </row>
    <row r="17" spans="2:14" x14ac:dyDescent="0.2">
      <c r="B17" t="s">
        <v>100</v>
      </c>
      <c r="C17">
        <v>314</v>
      </c>
      <c r="D17">
        <v>467</v>
      </c>
      <c r="E17">
        <v>713</v>
      </c>
      <c r="F17">
        <v>653</v>
      </c>
      <c r="G17">
        <v>698</v>
      </c>
      <c r="H17">
        <v>731</v>
      </c>
      <c r="I17">
        <v>638</v>
      </c>
      <c r="J17">
        <v>690</v>
      </c>
      <c r="K17">
        <v>761</v>
      </c>
      <c r="L17" s="35">
        <v>1104</v>
      </c>
      <c r="M17">
        <v>428</v>
      </c>
      <c r="N17">
        <v>653</v>
      </c>
    </row>
    <row r="18" spans="2:14" x14ac:dyDescent="0.2">
      <c r="B18" t="s">
        <v>101</v>
      </c>
      <c r="C18">
        <v>98</v>
      </c>
      <c r="D18">
        <v>70</v>
      </c>
      <c r="E18">
        <v>95</v>
      </c>
      <c r="F18">
        <v>40</v>
      </c>
      <c r="G18">
        <v>80</v>
      </c>
      <c r="H18">
        <v>58</v>
      </c>
      <c r="I18">
        <v>620</v>
      </c>
      <c r="J18" s="35">
        <v>1797</v>
      </c>
      <c r="K18">
        <v>232</v>
      </c>
      <c r="L18">
        <v>21</v>
      </c>
      <c r="M18">
        <v>18</v>
      </c>
      <c r="N18">
        <v>32</v>
      </c>
    </row>
    <row r="19" spans="2:14" x14ac:dyDescent="0.2">
      <c r="B19" t="s">
        <v>102</v>
      </c>
      <c r="C19">
        <v>-70</v>
      </c>
      <c r="D19">
        <v>-304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2:14" x14ac:dyDescent="0.2">
      <c r="B20" t="s">
        <v>103</v>
      </c>
      <c r="C20">
        <v>-4</v>
      </c>
      <c r="D20">
        <v>-9</v>
      </c>
      <c r="E20">
        <v>0</v>
      </c>
      <c r="F20">
        <v>0</v>
      </c>
      <c r="G20">
        <v>-160</v>
      </c>
      <c r="H20">
        <v>0</v>
      </c>
      <c r="I20">
        <v>-107</v>
      </c>
      <c r="J20">
        <v>-4</v>
      </c>
      <c r="K20">
        <v>-9</v>
      </c>
      <c r="L20">
        <v>-606</v>
      </c>
      <c r="M20">
        <v>-10</v>
      </c>
      <c r="N20">
        <v>0</v>
      </c>
    </row>
    <row r="21" spans="2:14" x14ac:dyDescent="0.2">
      <c r="B21" t="s">
        <v>104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14</v>
      </c>
      <c r="K21">
        <v>533</v>
      </c>
      <c r="L21">
        <v>0</v>
      </c>
      <c r="M21">
        <v>0</v>
      </c>
      <c r="N21">
        <v>0</v>
      </c>
    </row>
    <row r="22" spans="2:14" x14ac:dyDescent="0.2">
      <c r="B22" t="s">
        <v>105</v>
      </c>
      <c r="C22">
        <v>2</v>
      </c>
      <c r="D22">
        <v>0</v>
      </c>
      <c r="E22">
        <v>0</v>
      </c>
      <c r="F22">
        <v>-185</v>
      </c>
      <c r="G22">
        <v>0</v>
      </c>
      <c r="H22">
        <v>-111</v>
      </c>
      <c r="I22">
        <v>0</v>
      </c>
      <c r="J22">
        <v>0</v>
      </c>
      <c r="K22">
        <v>-8</v>
      </c>
      <c r="L22">
        <v>-27</v>
      </c>
      <c r="M22">
        <v>0</v>
      </c>
      <c r="N22">
        <v>-98</v>
      </c>
    </row>
    <row r="23" spans="2:14" x14ac:dyDescent="0.2">
      <c r="B23" t="s">
        <v>106</v>
      </c>
      <c r="C23">
        <v>5</v>
      </c>
      <c r="D23">
        <v>-3</v>
      </c>
      <c r="E23">
        <v>45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2:14" x14ac:dyDescent="0.2">
      <c r="B24" t="s">
        <v>107</v>
      </c>
      <c r="C24">
        <v>884</v>
      </c>
      <c r="D24">
        <v>-129</v>
      </c>
      <c r="E24" s="35">
        <v>-5103</v>
      </c>
      <c r="F24" s="35">
        <v>-1149</v>
      </c>
      <c r="G24">
        <v>456</v>
      </c>
      <c r="H24" s="35">
        <v>-1289</v>
      </c>
      <c r="I24" s="35">
        <v>-26663</v>
      </c>
      <c r="J24" s="35">
        <v>5360</v>
      </c>
      <c r="K24" s="35">
        <v>7335</v>
      </c>
      <c r="L24" s="35">
        <v>-2659</v>
      </c>
      <c r="M24" s="35">
        <v>1051</v>
      </c>
      <c r="N24" s="35">
        <v>12813</v>
      </c>
    </row>
    <row r="25" spans="2:14" x14ac:dyDescent="0.2">
      <c r="B25" t="s">
        <v>108</v>
      </c>
      <c r="C25" s="35">
        <v>-1401</v>
      </c>
      <c r="D25" s="35">
        <v>6567</v>
      </c>
      <c r="E25" s="35">
        <v>-1692</v>
      </c>
      <c r="F25" s="35">
        <v>-3883</v>
      </c>
      <c r="G25" s="35">
        <v>5201</v>
      </c>
      <c r="H25" s="35">
        <v>-3795</v>
      </c>
      <c r="I25" s="35">
        <v>6205</v>
      </c>
      <c r="J25" s="35">
        <v>2012</v>
      </c>
      <c r="K25" s="35">
        <v>8830</v>
      </c>
      <c r="L25" s="35">
        <v>3390</v>
      </c>
      <c r="M25" s="35">
        <v>9904</v>
      </c>
      <c r="N25" s="35">
        <v>-3380</v>
      </c>
    </row>
    <row r="26" spans="2:14" x14ac:dyDescent="0.2">
      <c r="B26" t="s">
        <v>109</v>
      </c>
      <c r="C26" s="35">
        <v>3258</v>
      </c>
      <c r="D26">
        <v>139</v>
      </c>
      <c r="E26">
        <v>1</v>
      </c>
      <c r="F26">
        <v>0</v>
      </c>
      <c r="G26">
        <v>0</v>
      </c>
      <c r="H26" s="35">
        <v>7433</v>
      </c>
      <c r="I26">
        <v>5</v>
      </c>
      <c r="J26">
        <v>0</v>
      </c>
      <c r="K26">
        <v>0</v>
      </c>
      <c r="L26" s="35">
        <v>3889</v>
      </c>
      <c r="M26" s="35">
        <v>2603</v>
      </c>
      <c r="N26">
        <v>19</v>
      </c>
    </row>
    <row r="27" spans="2:14" x14ac:dyDescent="0.2">
      <c r="B27" t="s">
        <v>110</v>
      </c>
      <c r="C27">
        <v>0</v>
      </c>
      <c r="D27">
        <v>0</v>
      </c>
      <c r="E27">
        <v>-97</v>
      </c>
      <c r="F27">
        <v>-658</v>
      </c>
      <c r="G27">
        <v>-744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2:14" x14ac:dyDescent="0.2">
      <c r="B28" t="s">
        <v>111</v>
      </c>
      <c r="C28" s="35">
        <v>15530</v>
      </c>
      <c r="D28" s="35">
        <v>27462</v>
      </c>
      <c r="E28" s="35">
        <v>27863</v>
      </c>
      <c r="F28" s="35">
        <v>33258</v>
      </c>
      <c r="G28" s="35">
        <v>36363</v>
      </c>
      <c r="H28" s="35">
        <v>19519</v>
      </c>
      <c r="I28" s="35">
        <v>33390</v>
      </c>
      <c r="J28" s="35">
        <v>37482</v>
      </c>
      <c r="K28" s="35">
        <v>51128</v>
      </c>
      <c r="L28" s="35">
        <v>38297</v>
      </c>
      <c r="M28" s="35">
        <v>46641</v>
      </c>
      <c r="N28" s="35">
        <v>46578</v>
      </c>
    </row>
    <row r="29" spans="2:14" x14ac:dyDescent="0.2">
      <c r="B29" t="s">
        <v>112</v>
      </c>
      <c r="C29" s="35">
        <v>-16641</v>
      </c>
      <c r="D29" s="35">
        <v>-15010</v>
      </c>
      <c r="E29" s="36">
        <v>-20393.099999999999</v>
      </c>
      <c r="F29" s="36">
        <v>-29140.2</v>
      </c>
      <c r="G29" s="36">
        <v>-23333.599999999999</v>
      </c>
      <c r="H29" s="36">
        <v>-24923.1</v>
      </c>
      <c r="I29" s="36">
        <v>-21732.7</v>
      </c>
      <c r="J29" s="36">
        <v>-29963.3</v>
      </c>
      <c r="K29" s="36">
        <v>-35197.599999999999</v>
      </c>
      <c r="L29" s="36">
        <v>-29846.400000000001</v>
      </c>
      <c r="M29" s="36">
        <v>-29709.8</v>
      </c>
      <c r="N29" s="36">
        <v>-42817.2</v>
      </c>
    </row>
    <row r="30" spans="2:14" x14ac:dyDescent="0.2">
      <c r="B30" t="s">
        <v>113</v>
      </c>
      <c r="C30">
        <v>339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2:14" x14ac:dyDescent="0.2">
      <c r="B31" t="s">
        <v>114</v>
      </c>
      <c r="C31" s="35">
        <v>-2469</v>
      </c>
      <c r="D31" s="35">
        <v>-3374</v>
      </c>
      <c r="E31" s="35">
        <v>-4666</v>
      </c>
      <c r="F31" s="35">
        <v>-6171</v>
      </c>
      <c r="G31" s="35">
        <v>-6307</v>
      </c>
      <c r="H31" s="35">
        <v>-5716</v>
      </c>
      <c r="I31" s="35">
        <v>-5336</v>
      </c>
      <c r="J31" s="35">
        <v>-5411</v>
      </c>
      <c r="K31" s="35">
        <v>-7005</v>
      </c>
      <c r="L31" s="35">
        <v>-7518</v>
      </c>
      <c r="M31" s="35">
        <v>-8123</v>
      </c>
      <c r="N31" s="35">
        <v>-9251</v>
      </c>
    </row>
    <row r="32" spans="2:14" x14ac:dyDescent="0.2">
      <c r="B32" t="s">
        <v>115</v>
      </c>
      <c r="C32" s="35">
        <v>-1020</v>
      </c>
      <c r="D32" s="35">
        <v>-1503</v>
      </c>
      <c r="E32" s="35">
        <v>-1551</v>
      </c>
      <c r="F32">
        <v>-722</v>
      </c>
      <c r="G32">
        <v>-720</v>
      </c>
      <c r="H32">
        <v>-108</v>
      </c>
      <c r="I32">
        <v>-121</v>
      </c>
      <c r="J32">
        <v>-96</v>
      </c>
      <c r="K32">
        <v>-95</v>
      </c>
      <c r="L32">
        <v>-57</v>
      </c>
      <c r="M32">
        <v>-30</v>
      </c>
      <c r="N32">
        <v>-100</v>
      </c>
    </row>
    <row r="33" spans="2:14" x14ac:dyDescent="0.2">
      <c r="B33" t="s">
        <v>116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 s="35">
        <v>-1346</v>
      </c>
      <c r="M33" s="35">
        <v>-1477</v>
      </c>
      <c r="N33" s="35">
        <v>-1559</v>
      </c>
    </row>
    <row r="34" spans="2:14" x14ac:dyDescent="0.2">
      <c r="B34" t="s">
        <v>117</v>
      </c>
      <c r="C34">
        <v>-399</v>
      </c>
      <c r="D34" s="35">
        <v>-1147</v>
      </c>
      <c r="E34" s="35">
        <v>-2849</v>
      </c>
      <c r="F34">
        <v>-450</v>
      </c>
      <c r="G34">
        <v>-57</v>
      </c>
      <c r="H34">
        <v>0</v>
      </c>
      <c r="I34">
        <v>0</v>
      </c>
      <c r="J34">
        <v>0</v>
      </c>
      <c r="K34">
        <v>0</v>
      </c>
      <c r="L34">
        <v>-29</v>
      </c>
      <c r="M34">
        <v>0</v>
      </c>
      <c r="N34" s="35">
        <v>3750</v>
      </c>
    </row>
    <row r="35" spans="2:14" x14ac:dyDescent="0.2">
      <c r="B35" t="s">
        <v>52</v>
      </c>
      <c r="C35" s="35">
        <v>2815</v>
      </c>
      <c r="D35" s="35">
        <v>5488</v>
      </c>
      <c r="E35" s="35">
        <v>-2499</v>
      </c>
      <c r="F35" s="35">
        <v>4277</v>
      </c>
      <c r="G35" s="35">
        <v>4500</v>
      </c>
      <c r="H35" s="35">
        <v>-2589</v>
      </c>
      <c r="I35" s="35">
        <v>-3167</v>
      </c>
      <c r="J35">
        <v>730</v>
      </c>
      <c r="K35" s="35">
        <v>6843</v>
      </c>
      <c r="L35" s="35">
        <v>-3092</v>
      </c>
      <c r="M35" s="35">
        <v>13232</v>
      </c>
      <c r="N35" s="35">
        <v>6459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Financials</vt:lpstr>
      <vt:lpstr>Historical FS</vt:lpstr>
      <vt:lpstr>Ratio Analysis</vt:lpstr>
      <vt:lpstr>Forecasting</vt:lpstr>
      <vt:lpstr>Data Sheet</vt:lpstr>
      <vt:lpstr>Cash Flow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Rawat, Raghav</dc:creator>
  <cp:lastModifiedBy>Rawat, Raghav</cp:lastModifiedBy>
  <dcterms:created xsi:type="dcterms:W3CDTF">2026-04-09T14:00:28Z</dcterms:created>
  <dcterms:modified xsi:type="dcterms:W3CDTF">2026-04-11T20:25:11Z</dcterms:modified>
</cp:coreProperties>
</file>