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aghavrawat/Downloads/"/>
    </mc:Choice>
  </mc:AlternateContent>
  <xr:revisionPtr revIDLastSave="0" documentId="13_ncr:1_{EC72EB01-02BC-3A41-B349-58E187457418}" xr6:coauthVersionLast="47" xr6:coauthVersionMax="47" xr10:uidLastSave="{00000000-0000-0000-0000-000000000000}"/>
  <bookViews>
    <workbookView xWindow="0" yWindow="600" windowWidth="28800" windowHeight="16180" xr2:uid="{00000000-000D-0000-FFFF-FFFF00000000}"/>
  </bookViews>
  <sheets>
    <sheet name="One Page Profile" sheetId="7" r:id="rId1"/>
    <sheet name="Share Price" sheetId="9" state="hidden" r:id="rId2"/>
    <sheet name="Profit &amp; Loss" sheetId="1" state="hidden" r:id="rId3"/>
    <sheet name="Quarters" sheetId="3" state="hidden" r:id="rId4"/>
    <sheet name="Balance Sheet" sheetId="2" state="hidden" r:id="rId5"/>
    <sheet name="Cash Flow" sheetId="4" state="hidden" r:id="rId6"/>
    <sheet name="Customization" sheetId="5" state="hidden" r:id="rId7"/>
    <sheet name="Data Sheet" sheetId="6" state="hidden" r:id="rId8"/>
  </sheets>
  <definedNames>
    <definedName name="_xlnm._FilterDatabase" localSheetId="1" hidden="1">'Share Price'!$B$2:$C$2</definedName>
    <definedName name="_xlnm.Print_Area" localSheetId="0">'One Page Profile'!$A$1:$S$68</definedName>
    <definedName name="UPDATE">'Data Sheet'!$E$1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7" i="7" l="1"/>
  <c r="K46" i="7"/>
  <c r="K44" i="7"/>
  <c r="K43" i="7"/>
  <c r="J283" i="9"/>
  <c r="F31" i="7"/>
  <c r="F32" i="7"/>
  <c r="F33" i="7"/>
  <c r="F34" i="7"/>
  <c r="F35" i="7"/>
  <c r="F36" i="7"/>
  <c r="F37" i="7"/>
  <c r="F38" i="7"/>
  <c r="F39" i="7"/>
  <c r="F30" i="7"/>
  <c r="E31" i="7"/>
  <c r="E32" i="7"/>
  <c r="E33" i="7"/>
  <c r="E34" i="7"/>
  <c r="E35" i="7"/>
  <c r="E36" i="7"/>
  <c r="E37" i="7"/>
  <c r="E38" i="7"/>
  <c r="E39" i="7"/>
  <c r="E30" i="7"/>
  <c r="C31" i="7"/>
  <c r="C32" i="7"/>
  <c r="C33" i="7"/>
  <c r="C34" i="7"/>
  <c r="C35" i="7"/>
  <c r="C36" i="7"/>
  <c r="C37" i="7"/>
  <c r="C38" i="7"/>
  <c r="C39" i="7"/>
  <c r="C30" i="7"/>
  <c r="B39" i="7"/>
  <c r="B38" i="7"/>
  <c r="B37" i="7"/>
  <c r="B36" i="7"/>
  <c r="B35" i="7"/>
  <c r="B34" i="7"/>
  <c r="B33" i="7"/>
  <c r="B32" i="7"/>
  <c r="B31" i="7"/>
  <c r="B30" i="7"/>
  <c r="F28" i="7"/>
  <c r="E28" i="7"/>
  <c r="C28" i="7"/>
  <c r="M278" i="9"/>
  <c r="M277" i="9"/>
  <c r="M276" i="9"/>
  <c r="M275" i="9"/>
  <c r="M274" i="9"/>
  <c r="M273" i="9"/>
  <c r="M272" i="9"/>
  <c r="M271" i="9"/>
  <c r="M270" i="9"/>
  <c r="M269" i="9"/>
  <c r="G26" i="7"/>
  <c r="F26" i="7"/>
  <c r="E26" i="7"/>
  <c r="D26" i="7"/>
  <c r="G25" i="7"/>
  <c r="F25" i="7"/>
  <c r="E25" i="7"/>
  <c r="D25" i="7"/>
  <c r="G24" i="7"/>
  <c r="F24" i="7"/>
  <c r="E24" i="7"/>
  <c r="D24" i="7"/>
  <c r="G23" i="7"/>
  <c r="F23" i="7"/>
  <c r="E23" i="7"/>
  <c r="D23" i="7"/>
  <c r="G22" i="7"/>
  <c r="F22" i="7"/>
  <c r="E22" i="7"/>
  <c r="D22" i="7"/>
  <c r="G21" i="7"/>
  <c r="F21" i="7"/>
  <c r="E21" i="7"/>
  <c r="D21" i="7"/>
  <c r="C26" i="7"/>
  <c r="C24" i="7"/>
  <c r="C23" i="7"/>
  <c r="C22" i="7"/>
  <c r="C25" i="7"/>
  <c r="C21" i="7"/>
  <c r="K49" i="1"/>
  <c r="J49" i="1"/>
  <c r="I49" i="1"/>
  <c r="H49" i="1"/>
  <c r="G49" i="1"/>
  <c r="F49" i="1"/>
  <c r="E49" i="1"/>
  <c r="D49" i="1"/>
  <c r="C49" i="1"/>
  <c r="B49" i="1"/>
  <c r="K41" i="1"/>
  <c r="J41" i="1"/>
  <c r="I41" i="1"/>
  <c r="I44" i="1" s="1"/>
  <c r="H41" i="1"/>
  <c r="H44" i="1" s="1"/>
  <c r="G41" i="1"/>
  <c r="G44" i="1" s="1"/>
  <c r="F41" i="1"/>
  <c r="F44" i="1" s="1"/>
  <c r="E41" i="1"/>
  <c r="E44" i="1" s="1"/>
  <c r="D41" i="1"/>
  <c r="C41" i="1"/>
  <c r="B41" i="1"/>
  <c r="K26" i="2"/>
  <c r="J26" i="2"/>
  <c r="I26" i="2"/>
  <c r="H26" i="2"/>
  <c r="G26" i="2"/>
  <c r="F26" i="2"/>
  <c r="E26" i="2"/>
  <c r="D26" i="2"/>
  <c r="C26" i="2"/>
  <c r="B26" i="2"/>
  <c r="J47" i="1"/>
  <c r="K46" i="1"/>
  <c r="J46" i="1"/>
  <c r="K44" i="1"/>
  <c r="K47" i="1" s="1"/>
  <c r="J44" i="1"/>
  <c r="D44" i="1"/>
  <c r="D47" i="1" s="1"/>
  <c r="C44" i="1"/>
  <c r="C47" i="1" s="1"/>
  <c r="B44" i="1"/>
  <c r="B47" i="1" s="1"/>
  <c r="K43" i="1"/>
  <c r="J43" i="1"/>
  <c r="I43" i="1"/>
  <c r="H43" i="1"/>
  <c r="G43" i="1"/>
  <c r="F43" i="1"/>
  <c r="E43" i="1"/>
  <c r="D43" i="1"/>
  <c r="C43" i="1"/>
  <c r="B43" i="1"/>
  <c r="K42" i="1"/>
  <c r="J42" i="1"/>
  <c r="I42" i="1"/>
  <c r="H42" i="1"/>
  <c r="G42" i="1"/>
  <c r="F42" i="1"/>
  <c r="E42" i="1"/>
  <c r="D42" i="1"/>
  <c r="C42" i="1"/>
  <c r="B42" i="1"/>
  <c r="G17" i="7"/>
  <c r="F17" i="7"/>
  <c r="E17" i="7"/>
  <c r="D17" i="7"/>
  <c r="C17" i="7"/>
  <c r="G16" i="7"/>
  <c r="F16" i="7"/>
  <c r="E16" i="7"/>
  <c r="D16" i="7"/>
  <c r="C16" i="7"/>
  <c r="G15" i="7"/>
  <c r="F15" i="7"/>
  <c r="E15" i="7"/>
  <c r="D15" i="7"/>
  <c r="C15" i="7"/>
  <c r="K39" i="1"/>
  <c r="J39" i="1"/>
  <c r="I39" i="1"/>
  <c r="H39" i="1"/>
  <c r="G39" i="1"/>
  <c r="F39" i="1"/>
  <c r="E39" i="1"/>
  <c r="D39" i="1"/>
  <c r="C39" i="1"/>
  <c r="K38" i="1"/>
  <c r="J38" i="1"/>
  <c r="I38" i="1"/>
  <c r="H38" i="1"/>
  <c r="G38" i="1"/>
  <c r="F38" i="1"/>
  <c r="E38" i="1"/>
  <c r="D38" i="1"/>
  <c r="C38" i="1"/>
  <c r="B38" i="1"/>
  <c r="K37" i="1"/>
  <c r="J37" i="1"/>
  <c r="I37" i="1"/>
  <c r="H37" i="1"/>
  <c r="G37" i="1"/>
  <c r="F37" i="1"/>
  <c r="E37" i="1"/>
  <c r="D37" i="1"/>
  <c r="C37" i="1"/>
  <c r="G14" i="7"/>
  <c r="F14" i="7"/>
  <c r="E14" i="7"/>
  <c r="D14" i="7"/>
  <c r="C14" i="7"/>
  <c r="G13" i="7"/>
  <c r="F13" i="7"/>
  <c r="E13" i="7"/>
  <c r="D13" i="7"/>
  <c r="C13" i="7"/>
  <c r="K35" i="1"/>
  <c r="J35" i="1"/>
  <c r="I35" i="1"/>
  <c r="H35" i="1"/>
  <c r="G35" i="1"/>
  <c r="F35" i="1"/>
  <c r="E35" i="1"/>
  <c r="D35" i="1"/>
  <c r="C35" i="1"/>
  <c r="B35" i="1"/>
  <c r="G12" i="7"/>
  <c r="F12" i="7"/>
  <c r="E12" i="7"/>
  <c r="D12" i="7"/>
  <c r="C12" i="7"/>
  <c r="K34" i="1"/>
  <c r="J34" i="1"/>
  <c r="I34" i="1"/>
  <c r="H34" i="1"/>
  <c r="G34" i="1"/>
  <c r="F34" i="1"/>
  <c r="E34" i="1"/>
  <c r="D34" i="1"/>
  <c r="C34" i="1"/>
  <c r="B34" i="1"/>
  <c r="K33" i="1"/>
  <c r="J33" i="1"/>
  <c r="I33" i="1"/>
  <c r="H33" i="1"/>
  <c r="G33" i="1"/>
  <c r="F33" i="1"/>
  <c r="E33" i="1"/>
  <c r="D33" i="1"/>
  <c r="C33" i="1"/>
  <c r="B33" i="1"/>
  <c r="G11" i="7"/>
  <c r="F11" i="7"/>
  <c r="E11" i="7"/>
  <c r="D11" i="7"/>
  <c r="C11" i="7"/>
  <c r="K32" i="1"/>
  <c r="J32" i="1"/>
  <c r="I32" i="1"/>
  <c r="H32" i="1"/>
  <c r="G32" i="1"/>
  <c r="F32" i="1"/>
  <c r="E32" i="1"/>
  <c r="D32" i="1"/>
  <c r="C32" i="1"/>
  <c r="B32" i="1"/>
  <c r="G10" i="7"/>
  <c r="F10" i="7"/>
  <c r="E10" i="7"/>
  <c r="D10" i="7"/>
  <c r="C10" i="7"/>
  <c r="K30" i="1"/>
  <c r="J30" i="1"/>
  <c r="I30" i="1"/>
  <c r="H30" i="1"/>
  <c r="G30" i="1"/>
  <c r="F30" i="1"/>
  <c r="E30" i="1"/>
  <c r="D30" i="1"/>
  <c r="C30" i="1"/>
  <c r="B30" i="1"/>
  <c r="K29" i="1"/>
  <c r="J29" i="1"/>
  <c r="I29" i="1"/>
  <c r="H29" i="1"/>
  <c r="G29" i="1"/>
  <c r="F29" i="1"/>
  <c r="E29" i="1"/>
  <c r="D29" i="1"/>
  <c r="C29" i="1"/>
  <c r="B29" i="1"/>
  <c r="K28" i="1"/>
  <c r="J28" i="1"/>
  <c r="I28" i="1"/>
  <c r="H28" i="1"/>
  <c r="G28" i="1"/>
  <c r="F28" i="1"/>
  <c r="E28" i="1"/>
  <c r="D28" i="1"/>
  <c r="C28" i="1"/>
  <c r="B28" i="1"/>
  <c r="G9" i="7"/>
  <c r="F9" i="7"/>
  <c r="E9" i="7"/>
  <c r="D9" i="7"/>
  <c r="C9" i="7"/>
  <c r="L27" i="1"/>
  <c r="K27" i="1"/>
  <c r="J27" i="1"/>
  <c r="I27" i="1"/>
  <c r="H27" i="1"/>
  <c r="G27" i="1"/>
  <c r="F27" i="1"/>
  <c r="E27" i="1"/>
  <c r="D27" i="1"/>
  <c r="C27" i="1"/>
  <c r="G8" i="7"/>
  <c r="F8" i="7"/>
  <c r="E8" i="7"/>
  <c r="D8" i="7"/>
  <c r="C8" i="7"/>
  <c r="G6" i="7"/>
  <c r="G19" i="7" s="1"/>
  <c r="F6" i="7"/>
  <c r="F19" i="7" s="1"/>
  <c r="E6" i="7"/>
  <c r="E19" i="7" s="1"/>
  <c r="D6" i="7"/>
  <c r="D19" i="7" s="1"/>
  <c r="C6" i="7"/>
  <c r="C19" i="7" s="1"/>
  <c r="B2" i="7"/>
  <c r="C6" i="3"/>
  <c r="D6" i="3"/>
  <c r="E6" i="3"/>
  <c r="F6" i="3"/>
  <c r="G6" i="3"/>
  <c r="H6" i="3"/>
  <c r="I6" i="3"/>
  <c r="J6" i="3"/>
  <c r="K6" i="3"/>
  <c r="B6" i="3"/>
  <c r="C5" i="1"/>
  <c r="D5" i="1"/>
  <c r="E5" i="1"/>
  <c r="F5" i="1"/>
  <c r="G5" i="1"/>
  <c r="H5" i="1"/>
  <c r="I5" i="1"/>
  <c r="J5" i="1"/>
  <c r="K5" i="1"/>
  <c r="B5" i="1"/>
  <c r="B6" i="6"/>
  <c r="C17" i="2"/>
  <c r="D17" i="2"/>
  <c r="E17" i="2"/>
  <c r="F17" i="2"/>
  <c r="G17" i="2"/>
  <c r="H17" i="2"/>
  <c r="I17" i="2"/>
  <c r="J17" i="2"/>
  <c r="K17" i="2"/>
  <c r="C18" i="2"/>
  <c r="D18" i="2"/>
  <c r="E18" i="2"/>
  <c r="F18" i="2"/>
  <c r="G18" i="2"/>
  <c r="H18" i="2"/>
  <c r="I18" i="2"/>
  <c r="J18" i="2"/>
  <c r="K18" i="2"/>
  <c r="B17" i="2"/>
  <c r="C4" i="2"/>
  <c r="D4" i="2"/>
  <c r="E4" i="2"/>
  <c r="E5" i="2"/>
  <c r="E23" i="2"/>
  <c r="F4" i="2"/>
  <c r="G4" i="2"/>
  <c r="H4" i="2"/>
  <c r="I4" i="2"/>
  <c r="I5" i="2"/>
  <c r="J4" i="2"/>
  <c r="J5" i="2"/>
  <c r="J23" i="2" s="1"/>
  <c r="K4" i="2"/>
  <c r="C5" i="2"/>
  <c r="D5" i="2"/>
  <c r="F5" i="2"/>
  <c r="G5" i="2"/>
  <c r="H5" i="2"/>
  <c r="H23" i="2" s="1"/>
  <c r="K5" i="2"/>
  <c r="C6" i="2"/>
  <c r="D6" i="2"/>
  <c r="E6" i="2"/>
  <c r="F6" i="2"/>
  <c r="G6" i="2"/>
  <c r="H6" i="2"/>
  <c r="I6" i="2"/>
  <c r="J6" i="2"/>
  <c r="K6" i="2"/>
  <c r="C7" i="2"/>
  <c r="D7" i="2"/>
  <c r="E7" i="2"/>
  <c r="F7" i="2"/>
  <c r="G7" i="2"/>
  <c r="G16" i="2" s="1"/>
  <c r="H7" i="2"/>
  <c r="I7" i="2"/>
  <c r="J7" i="2"/>
  <c r="K7" i="2"/>
  <c r="C8" i="2"/>
  <c r="D8" i="2"/>
  <c r="E8" i="2"/>
  <c r="F8" i="2"/>
  <c r="G8" i="2"/>
  <c r="H8" i="2"/>
  <c r="I8" i="2"/>
  <c r="J8" i="2"/>
  <c r="K8" i="2"/>
  <c r="C10" i="2"/>
  <c r="D10" i="2"/>
  <c r="E10" i="2"/>
  <c r="F10" i="2"/>
  <c r="G10" i="2"/>
  <c r="H10" i="2"/>
  <c r="I10" i="2"/>
  <c r="J10" i="2"/>
  <c r="K10" i="2"/>
  <c r="C11" i="2"/>
  <c r="D11" i="2"/>
  <c r="E11" i="2"/>
  <c r="F11" i="2"/>
  <c r="G11" i="2"/>
  <c r="H11" i="2"/>
  <c r="I11" i="2"/>
  <c r="J11" i="2"/>
  <c r="K11" i="2"/>
  <c r="C12" i="2"/>
  <c r="D12" i="2"/>
  <c r="E12" i="2"/>
  <c r="F12" i="2"/>
  <c r="G12" i="2"/>
  <c r="H12" i="2"/>
  <c r="I12" i="2"/>
  <c r="J12" i="2"/>
  <c r="K12" i="2"/>
  <c r="C13" i="2"/>
  <c r="D13" i="2"/>
  <c r="D16" i="2" s="1"/>
  <c r="E13" i="2"/>
  <c r="E16" i="2" s="1"/>
  <c r="F13" i="2"/>
  <c r="G13" i="2"/>
  <c r="H13" i="2"/>
  <c r="I13" i="2"/>
  <c r="J13" i="2"/>
  <c r="K13" i="2"/>
  <c r="K16" i="2" s="1"/>
  <c r="C14" i="2"/>
  <c r="D14" i="2"/>
  <c r="E14" i="2"/>
  <c r="F14" i="2"/>
  <c r="G14" i="2"/>
  <c r="H14" i="2"/>
  <c r="I14" i="2"/>
  <c r="J14" i="2"/>
  <c r="K14" i="2"/>
  <c r="B14" i="2"/>
  <c r="B5" i="2"/>
  <c r="B4" i="2"/>
  <c r="C4" i="4"/>
  <c r="D4" i="4"/>
  <c r="E4" i="4"/>
  <c r="F4" i="4"/>
  <c r="G4" i="4"/>
  <c r="H4" i="4"/>
  <c r="I4" i="4"/>
  <c r="J4" i="4"/>
  <c r="K4" i="4"/>
  <c r="C5" i="4"/>
  <c r="D5" i="4"/>
  <c r="E5" i="4"/>
  <c r="F5" i="4"/>
  <c r="G5" i="4"/>
  <c r="H5" i="4"/>
  <c r="I5" i="4"/>
  <c r="J5" i="4"/>
  <c r="K5" i="4"/>
  <c r="C6" i="4"/>
  <c r="D6" i="4"/>
  <c r="E6" i="4"/>
  <c r="F6" i="4"/>
  <c r="G6" i="4"/>
  <c r="H6" i="4"/>
  <c r="I6" i="4"/>
  <c r="J6" i="4"/>
  <c r="K6" i="4"/>
  <c r="C7" i="4"/>
  <c r="D7" i="4"/>
  <c r="E7" i="4"/>
  <c r="F7" i="4"/>
  <c r="G7" i="4"/>
  <c r="H7" i="4"/>
  <c r="I7" i="4"/>
  <c r="J7" i="4"/>
  <c r="K7" i="4"/>
  <c r="C4" i="3"/>
  <c r="C14" i="3" s="1"/>
  <c r="D4" i="3"/>
  <c r="D14" i="3" s="1"/>
  <c r="E4" i="3"/>
  <c r="F4" i="3"/>
  <c r="G4" i="3"/>
  <c r="H4" i="3"/>
  <c r="I4" i="3"/>
  <c r="J4" i="3"/>
  <c r="K4" i="3"/>
  <c r="K14" i="3" s="1"/>
  <c r="C5" i="3"/>
  <c r="D5" i="3"/>
  <c r="E5" i="3"/>
  <c r="F5" i="3"/>
  <c r="G5" i="3"/>
  <c r="H5" i="3"/>
  <c r="I5" i="3"/>
  <c r="J5" i="3"/>
  <c r="K5" i="3"/>
  <c r="C7" i="3"/>
  <c r="D7" i="3"/>
  <c r="E7" i="3"/>
  <c r="F7" i="3"/>
  <c r="G7" i="3"/>
  <c r="H7" i="3"/>
  <c r="I7" i="3"/>
  <c r="J7" i="3"/>
  <c r="L7" i="1" s="1"/>
  <c r="K7" i="3"/>
  <c r="C8" i="3"/>
  <c r="D8" i="3"/>
  <c r="E8" i="3"/>
  <c r="F8" i="3"/>
  <c r="G8" i="3"/>
  <c r="H8" i="3"/>
  <c r="I8" i="3"/>
  <c r="L8" i="1" s="1"/>
  <c r="J8" i="3"/>
  <c r="K8" i="3"/>
  <c r="C9" i="3"/>
  <c r="D9" i="3"/>
  <c r="E9" i="3"/>
  <c r="F9" i="3"/>
  <c r="G9" i="3"/>
  <c r="H9" i="3"/>
  <c r="L9" i="1" s="1"/>
  <c r="I9" i="3"/>
  <c r="J9" i="3"/>
  <c r="K9" i="3"/>
  <c r="C10" i="3"/>
  <c r="D10" i="3"/>
  <c r="E10" i="3"/>
  <c r="F10" i="3"/>
  <c r="G10" i="3"/>
  <c r="H10" i="3"/>
  <c r="I10" i="3"/>
  <c r="J10" i="3"/>
  <c r="K10" i="3"/>
  <c r="C11" i="3"/>
  <c r="D11" i="3"/>
  <c r="E11" i="3"/>
  <c r="F11" i="3"/>
  <c r="G11" i="3"/>
  <c r="H11" i="3"/>
  <c r="I11" i="3"/>
  <c r="J11" i="3"/>
  <c r="K11" i="3"/>
  <c r="C12" i="3"/>
  <c r="D12" i="3"/>
  <c r="E12" i="3"/>
  <c r="F12" i="3"/>
  <c r="G12" i="3"/>
  <c r="H12" i="3"/>
  <c r="I12" i="3"/>
  <c r="J12" i="3"/>
  <c r="K12" i="3"/>
  <c r="B5" i="3"/>
  <c r="C18" i="1"/>
  <c r="D18" i="1"/>
  <c r="E18" i="1"/>
  <c r="F18" i="1"/>
  <c r="G18" i="1"/>
  <c r="H18" i="1"/>
  <c r="I18" i="1"/>
  <c r="J18" i="1"/>
  <c r="K18" i="1"/>
  <c r="B18" i="1"/>
  <c r="C4" i="1"/>
  <c r="D4" i="1"/>
  <c r="E4" i="1"/>
  <c r="F4" i="1"/>
  <c r="G4" i="1"/>
  <c r="H4" i="1"/>
  <c r="I4" i="1"/>
  <c r="I21" i="2" s="1"/>
  <c r="J4" i="1"/>
  <c r="K4" i="1"/>
  <c r="C7" i="1"/>
  <c r="D7" i="1"/>
  <c r="E7" i="1"/>
  <c r="F7" i="1"/>
  <c r="G7" i="1"/>
  <c r="H7" i="1"/>
  <c r="I7" i="1"/>
  <c r="J7" i="1"/>
  <c r="K7" i="1"/>
  <c r="C8" i="1"/>
  <c r="D8" i="1"/>
  <c r="E8" i="1"/>
  <c r="F8" i="1"/>
  <c r="G8" i="1"/>
  <c r="H8" i="1"/>
  <c r="I8" i="1"/>
  <c r="J8" i="1"/>
  <c r="K8" i="1"/>
  <c r="C9" i="1"/>
  <c r="D9" i="1"/>
  <c r="E9" i="1"/>
  <c r="F9" i="1"/>
  <c r="G9" i="1"/>
  <c r="H9" i="1"/>
  <c r="I9" i="1"/>
  <c r="J9" i="1"/>
  <c r="K9" i="1"/>
  <c r="C10" i="1"/>
  <c r="D10" i="1"/>
  <c r="E10" i="1"/>
  <c r="F10" i="1"/>
  <c r="G10" i="1"/>
  <c r="H10" i="1"/>
  <c r="I10" i="1"/>
  <c r="J10" i="1"/>
  <c r="K10" i="1"/>
  <c r="C11" i="1"/>
  <c r="D11" i="1"/>
  <c r="E11" i="1"/>
  <c r="F11" i="1"/>
  <c r="G11" i="1"/>
  <c r="H11" i="1"/>
  <c r="I11" i="1"/>
  <c r="J11" i="1"/>
  <c r="K11" i="1"/>
  <c r="C12" i="1"/>
  <c r="C13" i="1" s="1"/>
  <c r="C14" i="1" s="1"/>
  <c r="D12" i="1"/>
  <c r="E12" i="1"/>
  <c r="F12" i="1"/>
  <c r="F13" i="1" s="1"/>
  <c r="F14" i="1" s="1"/>
  <c r="G12" i="1"/>
  <c r="G13" i="1" s="1"/>
  <c r="G14" i="1" s="1"/>
  <c r="H12" i="1"/>
  <c r="I12" i="1"/>
  <c r="I23" i="2" s="1"/>
  <c r="J12" i="1"/>
  <c r="J13" i="1" s="1"/>
  <c r="J14" i="1" s="1"/>
  <c r="K12" i="1"/>
  <c r="K13" i="1" s="1"/>
  <c r="K14" i="1" s="1"/>
  <c r="C15" i="1"/>
  <c r="D15" i="1"/>
  <c r="E15" i="1"/>
  <c r="F15" i="1"/>
  <c r="G15" i="1"/>
  <c r="H15" i="1"/>
  <c r="I15" i="1"/>
  <c r="J15" i="1"/>
  <c r="K15" i="1"/>
  <c r="B15" i="1"/>
  <c r="H13" i="1"/>
  <c r="B7" i="1"/>
  <c r="B4" i="1"/>
  <c r="B20" i="2" s="1"/>
  <c r="A1" i="1"/>
  <c r="E1" i="6"/>
  <c r="H1" i="1" s="1"/>
  <c r="E1" i="2"/>
  <c r="E1" i="3"/>
  <c r="H16" i="2"/>
  <c r="F23" i="2"/>
  <c r="C16" i="2"/>
  <c r="G23" i="2"/>
  <c r="F16" i="2"/>
  <c r="E6" i="1"/>
  <c r="E19" i="1"/>
  <c r="D23" i="2"/>
  <c r="J6" i="1"/>
  <c r="J19" i="1"/>
  <c r="K6" i="1"/>
  <c r="K19" i="1" s="1"/>
  <c r="G6" i="1"/>
  <c r="G19" i="1" s="1"/>
  <c r="C6" i="1"/>
  <c r="C19" i="1"/>
  <c r="D6" i="1"/>
  <c r="D19" i="1" s="1"/>
  <c r="B6" i="1"/>
  <c r="B19" i="1" s="1"/>
  <c r="C3" i="4"/>
  <c r="D3" i="4"/>
  <c r="E3" i="4"/>
  <c r="F3" i="4"/>
  <c r="G3" i="4"/>
  <c r="H3" i="4"/>
  <c r="I3" i="4"/>
  <c r="J3" i="4"/>
  <c r="K3" i="4"/>
  <c r="C3" i="2"/>
  <c r="D3" i="2"/>
  <c r="E3" i="2"/>
  <c r="F3" i="2"/>
  <c r="G3" i="2"/>
  <c r="H3" i="2"/>
  <c r="I3" i="2"/>
  <c r="J3" i="2"/>
  <c r="K3" i="2"/>
  <c r="C3" i="3"/>
  <c r="D3" i="3"/>
  <c r="E3" i="3"/>
  <c r="F3" i="3"/>
  <c r="G3" i="3"/>
  <c r="H3" i="3"/>
  <c r="I3" i="3"/>
  <c r="J3" i="3"/>
  <c r="K3" i="3"/>
  <c r="C3" i="1"/>
  <c r="D3" i="1"/>
  <c r="E3" i="1"/>
  <c r="F3" i="1"/>
  <c r="G3" i="1"/>
  <c r="H3" i="1"/>
  <c r="I3" i="1"/>
  <c r="J3" i="1"/>
  <c r="K3" i="1"/>
  <c r="B7" i="4"/>
  <c r="B6" i="4"/>
  <c r="B5" i="4"/>
  <c r="B4" i="4"/>
  <c r="B3" i="4"/>
  <c r="K21" i="2"/>
  <c r="J21" i="2"/>
  <c r="H21" i="2"/>
  <c r="G21" i="2"/>
  <c r="F21" i="2"/>
  <c r="E21" i="2"/>
  <c r="D21" i="2"/>
  <c r="C21" i="2"/>
  <c r="B18" i="2"/>
  <c r="B21" i="2" s="1"/>
  <c r="B13" i="2"/>
  <c r="B16" i="2" s="1"/>
  <c r="B12" i="2"/>
  <c r="B11" i="2"/>
  <c r="B10" i="2"/>
  <c r="B8" i="2"/>
  <c r="B7" i="2"/>
  <c r="B6" i="2"/>
  <c r="B3" i="2"/>
  <c r="J14" i="3"/>
  <c r="H14" i="3"/>
  <c r="F14" i="3"/>
  <c r="B12" i="3"/>
  <c r="B11" i="3"/>
  <c r="B10" i="3"/>
  <c r="B9" i="3"/>
  <c r="B8" i="3"/>
  <c r="B7" i="3"/>
  <c r="B4" i="3"/>
  <c r="B14" i="3" s="1"/>
  <c r="B3" i="3"/>
  <c r="L15" i="1"/>
  <c r="B12" i="1"/>
  <c r="B13" i="1" s="1"/>
  <c r="B11" i="1"/>
  <c r="B10" i="1"/>
  <c r="B9" i="1"/>
  <c r="B8" i="1"/>
  <c r="B3" i="1"/>
  <c r="E14" i="3"/>
  <c r="I14" i="3"/>
  <c r="G14" i="3"/>
  <c r="G20" i="2"/>
  <c r="K20" i="2"/>
  <c r="D20" i="2"/>
  <c r="J20" i="2"/>
  <c r="C20" i="2"/>
  <c r="E20" i="2"/>
  <c r="L12" i="1"/>
  <c r="L13" i="1" s="1"/>
  <c r="L14" i="1" s="1"/>
  <c r="L25" i="1" s="1"/>
  <c r="L11" i="1"/>
  <c r="L10" i="1"/>
  <c r="N11" i="1" s="1"/>
  <c r="L6" i="1"/>
  <c r="L4" i="1"/>
  <c r="L23" i="1" s="1"/>
  <c r="A1" i="3"/>
  <c r="A1" i="2"/>
  <c r="A1" i="4"/>
  <c r="H23" i="1"/>
  <c r="I23" i="1"/>
  <c r="J23" i="1"/>
  <c r="L5" i="1"/>
  <c r="K45" i="7" l="1"/>
  <c r="K49" i="7" s="1"/>
  <c r="C46" i="1"/>
  <c r="B46" i="1"/>
  <c r="E46" i="1"/>
  <c r="E47" i="1"/>
  <c r="G47" i="1"/>
  <c r="G46" i="1"/>
  <c r="I47" i="1"/>
  <c r="I46" i="1"/>
  <c r="F47" i="1"/>
  <c r="F46" i="1"/>
  <c r="H46" i="1"/>
  <c r="H47" i="1"/>
  <c r="D46" i="1"/>
  <c r="F20" i="2"/>
  <c r="J16" i="2"/>
  <c r="E24" i="2"/>
  <c r="C23" i="2"/>
  <c r="E14" i="1"/>
  <c r="J24" i="2"/>
  <c r="D24" i="2"/>
  <c r="I24" i="2"/>
  <c r="K23" i="2"/>
  <c r="I14" i="1"/>
  <c r="K25" i="1" s="1"/>
  <c r="M25" i="1" s="1"/>
  <c r="M14" i="1" s="1"/>
  <c r="C24" i="2"/>
  <c r="H24" i="2"/>
  <c r="M11" i="1"/>
  <c r="L19" i="1"/>
  <c r="L24" i="1" s="1"/>
  <c r="B23" i="2"/>
  <c r="I13" i="1"/>
  <c r="H14" i="1"/>
  <c r="G24" i="2"/>
  <c r="D13" i="1"/>
  <c r="E13" i="1" s="1"/>
  <c r="K24" i="1"/>
  <c r="M24" i="1" s="1"/>
  <c r="B14" i="1"/>
  <c r="I24" i="1"/>
  <c r="I16" i="2"/>
  <c r="K24" i="2"/>
  <c r="I6" i="1"/>
  <c r="I19" i="1" s="1"/>
  <c r="F24" i="2"/>
  <c r="J25" i="1"/>
  <c r="M9" i="1"/>
  <c r="N9" i="1"/>
  <c r="N8" i="1"/>
  <c r="M8" i="1"/>
  <c r="N23" i="1"/>
  <c r="N4" i="1" s="1"/>
  <c r="I25" i="1"/>
  <c r="I20" i="2"/>
  <c r="J24" i="1"/>
  <c r="H20" i="2"/>
  <c r="K23" i="1"/>
  <c r="M23" i="1" s="1"/>
  <c r="M4" i="1" s="1"/>
  <c r="H6" i="1"/>
  <c r="H19" i="1" s="1"/>
  <c r="F6" i="1"/>
  <c r="F19" i="1" s="1"/>
  <c r="H24" i="1" s="1"/>
  <c r="E1" i="4"/>
  <c r="N24" i="1" l="1"/>
  <c r="D14" i="1"/>
  <c r="H25" i="1" s="1"/>
  <c r="N25" i="1" s="1"/>
  <c r="N14" i="1" s="1"/>
  <c r="N15" i="1" s="1"/>
  <c r="N6" i="1"/>
  <c r="N10" i="1" s="1"/>
  <c r="N12" i="1" s="1"/>
  <c r="N13" i="1" s="1"/>
  <c r="N5" i="1"/>
  <c r="M6" i="1"/>
  <c r="M10" i="1" s="1"/>
  <c r="M12" i="1" s="1"/>
  <c r="M13" i="1" s="1"/>
  <c r="M15" i="1" s="1"/>
  <c r="M5" i="1" l="1"/>
</calcChain>
</file>

<file path=xl/sharedStrings.xml><?xml version="1.0" encoding="utf-8"?>
<sst xmlns="http://schemas.openxmlformats.org/spreadsheetml/2006/main" count="234" uniqueCount="178">
  <si>
    <t>COMPANY NAME</t>
  </si>
  <si>
    <t>SCREENER.IN</t>
  </si>
  <si>
    <t>Narration</t>
  </si>
  <si>
    <t>Trailing</t>
  </si>
  <si>
    <t>Best Case</t>
  </si>
  <si>
    <t>Worst Case</t>
  </si>
  <si>
    <t>Sales</t>
  </si>
  <si>
    <t>Expenses</t>
  </si>
  <si>
    <t>Operating Profit</t>
  </si>
  <si>
    <t>Other Income</t>
  </si>
  <si>
    <t>Depreciation</t>
  </si>
  <si>
    <t>Interest</t>
  </si>
  <si>
    <t>Profit before tax</t>
  </si>
  <si>
    <t>Tax</t>
  </si>
  <si>
    <t>Net profit</t>
  </si>
  <si>
    <t>RATIOS:</t>
  </si>
  <si>
    <t>Price to earning</t>
  </si>
  <si>
    <t>Dividend Payout</t>
  </si>
  <si>
    <t>OPM</t>
  </si>
  <si>
    <t>TRENDS:</t>
  </si>
  <si>
    <t>BEST</t>
  </si>
  <si>
    <t>WORST</t>
  </si>
  <si>
    <t>Sales Growth</t>
  </si>
  <si>
    <t>Price to Earning</t>
  </si>
  <si>
    <t>Equity Share Capital</t>
  </si>
  <si>
    <t>Reserves</t>
  </si>
  <si>
    <t>Total</t>
  </si>
  <si>
    <t>Net Block</t>
  </si>
  <si>
    <t>Capital Work in Progress</t>
  </si>
  <si>
    <t>Investments</t>
  </si>
  <si>
    <t>Working Capital</t>
  </si>
  <si>
    <t>Face Value</t>
  </si>
  <si>
    <t>Cash from Operating Activity</t>
  </si>
  <si>
    <t>Cash from Investing Activity</t>
  </si>
  <si>
    <t>Cash from Financing Activity</t>
  </si>
  <si>
    <t>Net Cash Flow</t>
  </si>
  <si>
    <t>PLEASE DO NOT MAKE ANY CHANGES TO THIS SHEET</t>
  </si>
  <si>
    <t>PROFIT &amp; LOSS</t>
  </si>
  <si>
    <t>Report Date</t>
  </si>
  <si>
    <t>Quarters</t>
  </si>
  <si>
    <t>BALANCE SHEET</t>
  </si>
  <si>
    <t>CASH FLOW:</t>
  </si>
  <si>
    <t>Number of shares</t>
  </si>
  <si>
    <t>Current Price</t>
  </si>
  <si>
    <t>Debtors</t>
  </si>
  <si>
    <t>Inventory</t>
  </si>
  <si>
    <t>Debtor Days</t>
  </si>
  <si>
    <t>Inventory Turnover</t>
  </si>
  <si>
    <t>You can customize this workbook as you want.</t>
  </si>
  <si>
    <t>Please don't edit the "Data Sheet" only.</t>
  </si>
  <si>
    <t>After customization, you can upload this back on Screener.</t>
  </si>
  <si>
    <t>Upload on:</t>
  </si>
  <si>
    <t>Download your customized workbooks now onwards.</t>
  </si>
  <si>
    <t>Now whenever you will "Export to excel" from Screener, it will export your customized file.</t>
  </si>
  <si>
    <t>TESTING:</t>
  </si>
  <si>
    <t>This is a testing feature currently.</t>
  </si>
  <si>
    <t>How to use it?</t>
  </si>
  <si>
    <t>EPS</t>
  </si>
  <si>
    <t>Price</t>
  </si>
  <si>
    <t>Return on Equity</t>
  </si>
  <si>
    <t>Return on Capital Emp</t>
  </si>
  <si>
    <t>LATEST VERSION</t>
  </si>
  <si>
    <t>CURRENT VERSION</t>
  </si>
  <si>
    <t>ITC LTD</t>
  </si>
  <si>
    <t>META</t>
  </si>
  <si>
    <t>10 YEARS</t>
  </si>
  <si>
    <t>7 YEARS</t>
  </si>
  <si>
    <t>5 YEARS</t>
  </si>
  <si>
    <t>3 YEARS</t>
  </si>
  <si>
    <t>RECENT</t>
  </si>
  <si>
    <t>Dividend Amount</t>
  </si>
  <si>
    <t>Borrowings</t>
  </si>
  <si>
    <t>Other Liabilities</t>
  </si>
  <si>
    <t>Other Assets</t>
  </si>
  <si>
    <t>No. of Equity Shares</t>
  </si>
  <si>
    <t>New Bonus Shares</t>
  </si>
  <si>
    <t>DERIVED:</t>
  </si>
  <si>
    <t>PRICE:</t>
  </si>
  <si>
    <t>Receivables</t>
  </si>
  <si>
    <t>Market Capitalization</t>
  </si>
  <si>
    <t>Raw Material Cost</t>
  </si>
  <si>
    <t>Change in Inventory</t>
  </si>
  <si>
    <t>Power and Fuel</t>
  </si>
  <si>
    <t>Other Mfr. Exp</t>
  </si>
  <si>
    <t>Employee Cost</t>
  </si>
  <si>
    <t>Selling and admin</t>
  </si>
  <si>
    <t>Other Expenses</t>
  </si>
  <si>
    <t>Cash &amp; Bank</t>
  </si>
  <si>
    <t>Face value</t>
  </si>
  <si>
    <t>Adjusted Equity Shares in Cr</t>
  </si>
  <si>
    <t>You can add custom formating, add conditional formating, add your own formulas… do ANYTHING.</t>
  </si>
  <si>
    <t xml:space="preserve"> https://www.screener.in/excel/</t>
  </si>
  <si>
    <r>
      <t xml:space="preserve">You can report any formula errors on the worksheet at: </t>
    </r>
    <r>
      <rPr>
        <b/>
        <sz val="11"/>
        <color theme="1"/>
        <rFont val="Calibri"/>
        <family val="2"/>
        <scheme val="minor"/>
      </rPr>
      <t>support@screener.in</t>
    </r>
  </si>
  <si>
    <t>Key Financial Metrics</t>
  </si>
  <si>
    <t>Total Sales</t>
  </si>
  <si>
    <t>(INR Crs.)</t>
  </si>
  <si>
    <t>Sales Growth Year on Year</t>
  </si>
  <si>
    <t>Direct Expenses</t>
  </si>
  <si>
    <t>Gross Profit</t>
  </si>
  <si>
    <t>GPM</t>
  </si>
  <si>
    <t>Gross Profit Margins (%)</t>
  </si>
  <si>
    <t>EBITDA Margins (%)</t>
  </si>
  <si>
    <t>EBITDA Margins</t>
  </si>
  <si>
    <t xml:space="preserve">EBIT </t>
  </si>
  <si>
    <t>EBIT Margins</t>
  </si>
  <si>
    <t>EBIT Margins (%)</t>
  </si>
  <si>
    <t>Net Profit Margins (%)</t>
  </si>
  <si>
    <t>Net Margins</t>
  </si>
  <si>
    <t>Earnings Per Share (in Rs)</t>
  </si>
  <si>
    <t>EPS Growth (y-o-y)</t>
  </si>
  <si>
    <t>Sales Growth (y-o-y)</t>
  </si>
  <si>
    <t>EPS Growth YOY</t>
  </si>
  <si>
    <t>DPS</t>
  </si>
  <si>
    <t>DPS Growth YOY</t>
  </si>
  <si>
    <t>Dividend Per Share (in Rs)</t>
  </si>
  <si>
    <t>DPS Growth (y-o-y)</t>
  </si>
  <si>
    <t>Date</t>
  </si>
  <si>
    <t>Closing Price</t>
  </si>
  <si>
    <t>Share Price - 5Y</t>
  </si>
  <si>
    <t>Market Cap</t>
  </si>
  <si>
    <t>Debt</t>
  </si>
  <si>
    <t>Cash</t>
  </si>
  <si>
    <t>EV</t>
  </si>
  <si>
    <t>EV/EBITDA</t>
  </si>
  <si>
    <t>EV/Sales</t>
  </si>
  <si>
    <t>Book Value of Equity</t>
  </si>
  <si>
    <t>P/B</t>
  </si>
  <si>
    <t>Key Financial Ratios</t>
  </si>
  <si>
    <t>Price to Book Value</t>
  </si>
  <si>
    <t>Price to Earnings</t>
  </si>
  <si>
    <t>Return on Equity (%)</t>
  </si>
  <si>
    <t>Return on Capital Employed (%)</t>
  </si>
  <si>
    <t>Volume</t>
  </si>
  <si>
    <t>Volume - 5Y</t>
  </si>
  <si>
    <t>Shareholder's name</t>
  </si>
  <si>
    <t>Tobacco Manufacturers (India) Limited</t>
  </si>
  <si>
    <t>Life Insurance Corporation of India</t>
  </si>
  <si>
    <t>Specified Undertaking of the Unit Trust of India</t>
  </si>
  <si>
    <t>Myddleton Investment Company Limited</t>
  </si>
  <si>
    <t>ICICI Prudential Mutual Funds</t>
  </si>
  <si>
    <t>SBI Mutual Funds</t>
  </si>
  <si>
    <t>QIB - Insurance Company Registered</t>
  </si>
  <si>
    <t>Parag Parikh Flexi Cap Mutual Funds</t>
  </si>
  <si>
    <t>General Insurance Corporation of India</t>
  </si>
  <si>
    <t>No. of Shares (in Crs.)</t>
  </si>
  <si>
    <t>Market Value (in Crs.)</t>
  </si>
  <si>
    <t>% Holding</t>
  </si>
  <si>
    <t>Top 10 Shareholders</t>
  </si>
  <si>
    <t>GQG Partners International Opportunities Fund</t>
  </si>
  <si>
    <t>FII</t>
  </si>
  <si>
    <t>DII</t>
  </si>
  <si>
    <t>Public &amp; Government</t>
  </si>
  <si>
    <t>Shareholding Pattern</t>
  </si>
  <si>
    <t>Capital Structure</t>
  </si>
  <si>
    <t>Current Market Price</t>
  </si>
  <si>
    <t>No. of Shares O/S</t>
  </si>
  <si>
    <t>Less: Cash &amp; Equivalents</t>
  </si>
  <si>
    <t>Add: Debt</t>
  </si>
  <si>
    <t>Add: Minority Interest</t>
  </si>
  <si>
    <t>Enterprise Value</t>
  </si>
  <si>
    <t>Managerial Remuneration</t>
  </si>
  <si>
    <t>Designation</t>
  </si>
  <si>
    <t>Remuneration</t>
  </si>
  <si>
    <t>X of Median Salary</t>
  </si>
  <si>
    <t>S Puri</t>
  </si>
  <si>
    <t>S Dutta</t>
  </si>
  <si>
    <t>H Malik</t>
  </si>
  <si>
    <t>B Sumant</t>
  </si>
  <si>
    <t>CMD</t>
  </si>
  <si>
    <t>ED</t>
  </si>
  <si>
    <t>Exec. Director (ED) &amp; CFO</t>
  </si>
  <si>
    <t>Recent Updates</t>
  </si>
  <si>
    <t>1. FY2025 Financial Performance: Revenue from operations grew 10% YoY to ₹20,376 Cr in Q4 FY25. Reported net profit of ₹19,807 Cr was inflated by a ₹15,179 Cr one-time exceptional gain from the Hotels demerger — adjusted PAT actually declined ~10% YoY, reflecting real underlying pressure on core earnings.</t>
  </si>
  <si>
    <t>2. Hotels Demerger — Structural Unlock Completed: ITC Hotels listed on NSE &amp; BSE on January 29, 2025. Shareholders received 1 ITC Hotels share per 10 ITC shares held, with ITC retaining a 40% stake. This removes a capital-heavy, lower-return business from the balance sheet — structurally positive for FMCG re-rating.</t>
  </si>
  <si>
    <t>3. Century Pulp &amp; Paper Acquisition: ITC acquired Century Pulp &amp; Paper from Aditya Birla Real Estate for ~₹3,498 Cr, expected to add 50% to paper business revenues and boost segment EBITDA/ton by 30–40%. CCI approved the deal in December 2025, with closure targeted in H1 FY26.</t>
  </si>
  <si>
    <t>4. Sproutlife (Yoga Bar) Newest Subsidiary: Sproutlife Foods became an ITC subsidiary effective April 1, 2026, after ITC secured majority board nomination rights while holding a 47.5% stake. Revenues have grown from ₹88 Cr in FY23 to ₹200 Cr in FY25 — one of ITC's fastest-scaling food bets.</t>
  </si>
  <si>
    <t>5. ITC Next Strategy in Execution: ITC announced three FMCG acquisitions in FY25: 24 Mantra Organic Foods, Mother Sparsh Baby Care, and Ample Foods (Prasuma &amp; Meatigo). Outlook Business These bolt-ons deepen ITC's presence in organic foods, baby care, and premium chilled meats — all high-growth, future-facing categories.</t>
  </si>
  <si>
    <t>ITC Limited is an Indian conglomerate, headquartered in Kolkata. It has a presence across six business segments, namely FMCG, agribusiness, information technology, paper products, and packaging.[11] It generates a plurality of its revenue from tobacco products. In terms of market capitalization, ITC is the second-largest FMCG company in India and the third-largest tobacco company in the world.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</si>
</sst>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 * #,##0.00_ ;_ * \-#,##0.00_ ;_ * &quot;-&quot;??_ ;_ @_ "/>
    <numFmt numFmtId="165" formatCode="[$-409]mmm\-yy;@"/>
    <numFmt numFmtId="166" formatCode="#,##0.0"/>
    <numFmt numFmtId="167" formatCode="_(* #,##0_);_(* \(#,##0\);_(* &quot;-&quot;??_);_(@_)"/>
    <numFmt numFmtId="168" formatCode="0.00\x"/>
    <numFmt numFmtId="169" formatCode="0\x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z val="14"/>
      <color rgb="FF000000"/>
      <name val="Inherit"/>
    </font>
    <font>
      <sz val="14"/>
      <color rgb="FF000000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0275D8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rgb="FF1E4E79"/>
      </bottom>
      <diagonal/>
    </border>
    <border>
      <left/>
      <right/>
      <top style="dotted">
        <color rgb="FF002060"/>
      </top>
      <bottom style="dotted">
        <color rgb="FF002060"/>
      </bottom>
      <diagonal/>
    </border>
    <border>
      <left/>
      <right/>
      <top style="dotted">
        <color rgb="FF002060"/>
      </top>
      <bottom style="thin">
        <color rgb="FF002060"/>
      </bottom>
      <diagonal/>
    </border>
    <border>
      <left/>
      <right/>
      <top/>
      <bottom style="dotted">
        <color rgb="FF002060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9" fontId="3" fillId="0" borderId="0" applyFont="0" applyFill="0" applyBorder="0" applyAlignment="0" applyProtection="0"/>
  </cellStyleXfs>
  <cellXfs count="81">
    <xf numFmtId="0" fontId="0" fillId="0" borderId="0" xfId="0"/>
    <xf numFmtId="164" fontId="1" fillId="0" borderId="0" xfId="1" applyFont="1" applyBorder="1"/>
    <xf numFmtId="0" fontId="1" fillId="0" borderId="0" xfId="0" applyFont="1"/>
    <xf numFmtId="0" fontId="8" fillId="0" borderId="0" xfId="0" applyFont="1"/>
    <xf numFmtId="164" fontId="0" fillId="0" borderId="0" xfId="1" applyFont="1" applyBorder="1"/>
    <xf numFmtId="10" fontId="0" fillId="0" borderId="0" xfId="0" applyNumberFormat="1"/>
    <xf numFmtId="164" fontId="3" fillId="0" borderId="0" xfId="1" applyFont="1" applyBorder="1"/>
    <xf numFmtId="9" fontId="3" fillId="0" borderId="0" xfId="1" applyNumberFormat="1" applyFont="1" applyBorder="1"/>
    <xf numFmtId="164" fontId="2" fillId="2" borderId="0" xfId="3" applyNumberFormat="1" applyFont="1" applyBorder="1"/>
    <xf numFmtId="164" fontId="2" fillId="3" borderId="0" xfId="4" applyNumberFormat="1" applyFont="1" applyBorder="1"/>
    <xf numFmtId="9" fontId="1" fillId="0" borderId="0" xfId="6" applyFont="1" applyBorder="1"/>
    <xf numFmtId="0" fontId="2" fillId="5" borderId="0" xfId="0" applyFont="1" applyFill="1"/>
    <xf numFmtId="165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64" fontId="0" fillId="0" borderId="0" xfId="1" applyFont="1" applyBorder="1" applyAlignment="1">
      <alignment horizontal="center"/>
    </xf>
    <xf numFmtId="164" fontId="1" fillId="0" borderId="0" xfId="1" applyFont="1" applyBorder="1" applyAlignment="1">
      <alignment horizontal="center"/>
    </xf>
    <xf numFmtId="10" fontId="1" fillId="0" borderId="0" xfId="0" applyNumberFormat="1" applyFont="1"/>
    <xf numFmtId="165" fontId="2" fillId="5" borderId="0" xfId="1" applyNumberFormat="1" applyFont="1" applyFill="1" applyBorder="1"/>
    <xf numFmtId="165" fontId="9" fillId="0" borderId="0" xfId="1" applyNumberFormat="1" applyFont="1" applyFill="1" applyBorder="1"/>
    <xf numFmtId="0" fontId="7" fillId="0" borderId="0" xfId="0" applyFont="1"/>
    <xf numFmtId="0" fontId="0" fillId="0" borderId="0" xfId="0" applyAlignment="1">
      <alignment horizontal="left"/>
    </xf>
    <xf numFmtId="0" fontId="6" fillId="0" borderId="0" xfId="2" applyFont="1" applyBorder="1" applyAlignment="1" applyProtection="1">
      <alignment horizontal="left"/>
    </xf>
    <xf numFmtId="0" fontId="6" fillId="0" borderId="0" xfId="2" applyFont="1" applyBorder="1" applyAlignment="1" applyProtection="1"/>
    <xf numFmtId="0" fontId="9" fillId="0" borderId="0" xfId="0" applyFont="1"/>
    <xf numFmtId="43" fontId="0" fillId="0" borderId="0" xfId="1" applyNumberFormat="1" applyFont="1" applyBorder="1"/>
    <xf numFmtId="0" fontId="0" fillId="6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11" fillId="6" borderId="0" xfId="0" applyFont="1" applyFill="1"/>
    <xf numFmtId="17" fontId="11" fillId="6" borderId="0" xfId="0" applyNumberFormat="1" applyFont="1" applyFill="1"/>
    <xf numFmtId="0" fontId="13" fillId="0" borderId="0" xfId="0" applyFont="1"/>
    <xf numFmtId="0" fontId="14" fillId="0" borderId="0" xfId="0" applyFont="1"/>
    <xf numFmtId="10" fontId="0" fillId="0" borderId="0" xfId="6" applyNumberFormat="1" applyFont="1"/>
    <xf numFmtId="43" fontId="0" fillId="0" borderId="0" xfId="0" applyNumberFormat="1"/>
    <xf numFmtId="2" fontId="0" fillId="0" borderId="0" xfId="0" applyNumberFormat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14" fontId="15" fillId="0" borderId="0" xfId="0" applyNumberFormat="1" applyFont="1"/>
    <xf numFmtId="166" fontId="15" fillId="0" borderId="0" xfId="0" applyNumberFormat="1" applyFont="1" applyAlignment="1">
      <alignment horizontal="right"/>
    </xf>
    <xf numFmtId="167" fontId="0" fillId="0" borderId="0" xfId="0" applyNumberFormat="1"/>
    <xf numFmtId="168" fontId="0" fillId="0" borderId="0" xfId="0" applyNumberFormat="1"/>
    <xf numFmtId="0" fontId="17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8" fillId="0" borderId="0" xfId="0" applyFont="1"/>
    <xf numFmtId="0" fontId="19" fillId="0" borderId="0" xfId="0" applyFont="1"/>
    <xf numFmtId="3" fontId="19" fillId="0" borderId="0" xfId="0" applyNumberFormat="1" applyFont="1"/>
    <xf numFmtId="17" fontId="19" fillId="0" borderId="0" xfId="0" applyNumberFormat="1" applyFont="1"/>
    <xf numFmtId="0" fontId="0" fillId="0" borderId="3" xfId="0" applyBorder="1"/>
    <xf numFmtId="37" fontId="0" fillId="0" borderId="3" xfId="0" applyNumberFormat="1" applyBorder="1"/>
    <xf numFmtId="0" fontId="14" fillId="0" borderId="3" xfId="0" applyFont="1" applyBorder="1"/>
    <xf numFmtId="10" fontId="14" fillId="0" borderId="3" xfId="0" applyNumberFormat="1" applyFont="1" applyBorder="1"/>
    <xf numFmtId="10" fontId="0" fillId="0" borderId="3" xfId="0" applyNumberFormat="1" applyBorder="1"/>
    <xf numFmtId="2" fontId="0" fillId="0" borderId="3" xfId="0" applyNumberFormat="1" applyBorder="1"/>
    <xf numFmtId="43" fontId="0" fillId="0" borderId="3" xfId="0" applyNumberFormat="1" applyBorder="1"/>
    <xf numFmtId="168" fontId="0" fillId="0" borderId="3" xfId="0" applyNumberFormat="1" applyBorder="1"/>
    <xf numFmtId="37" fontId="0" fillId="0" borderId="3" xfId="0" applyNumberFormat="1" applyBorder="1" applyAlignment="1">
      <alignment horizontal="right"/>
    </xf>
    <xf numFmtId="10" fontId="0" fillId="0" borderId="3" xfId="6" applyNumberFormat="1" applyFont="1" applyBorder="1"/>
    <xf numFmtId="37" fontId="1" fillId="0" borderId="4" xfId="0" applyNumberFormat="1" applyFont="1" applyBorder="1" applyAlignment="1">
      <alignment horizontal="right"/>
    </xf>
    <xf numFmtId="37" fontId="0" fillId="0" borderId="5" xfId="0" applyNumberFormat="1" applyBorder="1" applyAlignment="1">
      <alignment horizontal="right"/>
    </xf>
    <xf numFmtId="0" fontId="0" fillId="0" borderId="0" xfId="0" applyAlignment="1">
      <alignment horizontal="left" wrapText="1"/>
    </xf>
    <xf numFmtId="0" fontId="12" fillId="6" borderId="0" xfId="0" applyFont="1" applyFill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1" fillId="6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17" fontId="11" fillId="6" borderId="0" xfId="0" applyNumberFormat="1" applyFont="1" applyFill="1" applyAlignment="1">
      <alignment horizontal="center"/>
    </xf>
    <xf numFmtId="37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 indent="1"/>
    </xf>
    <xf numFmtId="169" fontId="0" fillId="0" borderId="3" xfId="0" quotePrefix="1" applyNumberFormat="1" applyBorder="1" applyAlignment="1">
      <alignment horizontal="center"/>
    </xf>
    <xf numFmtId="169" fontId="0" fillId="0" borderId="3" xfId="0" applyNumberFormat="1" applyBorder="1" applyAlignment="1">
      <alignment horizontal="center"/>
    </xf>
    <xf numFmtId="46" fontId="0" fillId="0" borderId="0" xfId="0" quotePrefix="1" applyNumberFormat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 indent="1"/>
    </xf>
    <xf numFmtId="0" fontId="0" fillId="0" borderId="0" xfId="0" applyAlignment="1">
      <alignment horizontal="left" wrapText="1"/>
    </xf>
    <xf numFmtId="164" fontId="4" fillId="0" borderId="0" xfId="2" applyNumberFormat="1" applyBorder="1" applyAlignment="1" applyProtection="1">
      <alignment horizontal="center"/>
    </xf>
    <xf numFmtId="164" fontId="2" fillId="4" borderId="0" xfId="5" applyNumberFormat="1" applyFont="1" applyBorder="1" applyAlignment="1">
      <alignment horizontal="center"/>
    </xf>
  </cellXfs>
  <cellStyles count="7">
    <cellStyle name="60% - Accent1" xfId="3" builtinId="32"/>
    <cellStyle name="60% - Accent3" xfId="4" builtinId="40"/>
    <cellStyle name="Accent6" xfId="5" builtinId="49"/>
    <cellStyle name="Comma" xfId="1" builtinId="3"/>
    <cellStyle name="Hyperlink" xfId="2" builtinId="8"/>
    <cellStyle name="Normal" xfId="0" builtinId="0"/>
    <cellStyle name="Per cent" xfId="6" builtinId="5"/>
  </cellStyles>
  <dxfs count="31"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rgb="FF0275D8"/>
        </patternFill>
      </fill>
      <border diagonalUp="0" diagonalDown="0" outline="0">
        <left style="thin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theme="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[$-409]mmm\-yy;@"/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rgb="FF0275D8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rgb="FF0275D8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colors>
    <mruColors>
      <color rgb="FF027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'Share Price'!$C$2</c:f>
              <c:strCache>
                <c:ptCount val="1"/>
                <c:pt idx="0">
                  <c:v>Closing Price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'Share Price'!$B$3:$B$264</c:f>
              <c:numCache>
                <c:formatCode>m/d/yy</c:formatCode>
                <c:ptCount val="262"/>
                <c:pt idx="0">
                  <c:v>44305</c:v>
                </c:pt>
                <c:pt idx="1">
                  <c:v>44312</c:v>
                </c:pt>
                <c:pt idx="2">
                  <c:v>44319</c:v>
                </c:pt>
                <c:pt idx="3">
                  <c:v>44326</c:v>
                </c:pt>
                <c:pt idx="4">
                  <c:v>44333</c:v>
                </c:pt>
                <c:pt idx="5">
                  <c:v>44340</c:v>
                </c:pt>
                <c:pt idx="6">
                  <c:v>44347</c:v>
                </c:pt>
                <c:pt idx="7">
                  <c:v>44354</c:v>
                </c:pt>
                <c:pt idx="8">
                  <c:v>44361</c:v>
                </c:pt>
                <c:pt idx="9">
                  <c:v>44368</c:v>
                </c:pt>
                <c:pt idx="10">
                  <c:v>44375</c:v>
                </c:pt>
                <c:pt idx="11">
                  <c:v>44382</c:v>
                </c:pt>
                <c:pt idx="12">
                  <c:v>44389</c:v>
                </c:pt>
                <c:pt idx="13">
                  <c:v>44396</c:v>
                </c:pt>
                <c:pt idx="14">
                  <c:v>44403</c:v>
                </c:pt>
                <c:pt idx="15">
                  <c:v>44410</c:v>
                </c:pt>
                <c:pt idx="16">
                  <c:v>44417</c:v>
                </c:pt>
                <c:pt idx="17">
                  <c:v>44424</c:v>
                </c:pt>
                <c:pt idx="18">
                  <c:v>44431</c:v>
                </c:pt>
                <c:pt idx="19">
                  <c:v>44438</c:v>
                </c:pt>
                <c:pt idx="20">
                  <c:v>44445</c:v>
                </c:pt>
                <c:pt idx="21">
                  <c:v>44452</c:v>
                </c:pt>
                <c:pt idx="22">
                  <c:v>44459</c:v>
                </c:pt>
                <c:pt idx="23">
                  <c:v>44466</c:v>
                </c:pt>
                <c:pt idx="24">
                  <c:v>44473</c:v>
                </c:pt>
                <c:pt idx="25">
                  <c:v>44480</c:v>
                </c:pt>
                <c:pt idx="26">
                  <c:v>44487</c:v>
                </c:pt>
                <c:pt idx="27">
                  <c:v>44494</c:v>
                </c:pt>
                <c:pt idx="28">
                  <c:v>44501</c:v>
                </c:pt>
                <c:pt idx="29">
                  <c:v>44508</c:v>
                </c:pt>
                <c:pt idx="30">
                  <c:v>44515</c:v>
                </c:pt>
                <c:pt idx="31">
                  <c:v>44522</c:v>
                </c:pt>
                <c:pt idx="32">
                  <c:v>44529</c:v>
                </c:pt>
                <c:pt idx="33">
                  <c:v>44536</c:v>
                </c:pt>
                <c:pt idx="34">
                  <c:v>44543</c:v>
                </c:pt>
                <c:pt idx="35">
                  <c:v>44550</c:v>
                </c:pt>
                <c:pt idx="36">
                  <c:v>44557</c:v>
                </c:pt>
                <c:pt idx="37">
                  <c:v>44564</c:v>
                </c:pt>
                <c:pt idx="38">
                  <c:v>44571</c:v>
                </c:pt>
                <c:pt idx="39">
                  <c:v>44578</c:v>
                </c:pt>
                <c:pt idx="40">
                  <c:v>44585</c:v>
                </c:pt>
                <c:pt idx="41">
                  <c:v>44592</c:v>
                </c:pt>
                <c:pt idx="42">
                  <c:v>44599</c:v>
                </c:pt>
                <c:pt idx="43">
                  <c:v>44606</c:v>
                </c:pt>
                <c:pt idx="44">
                  <c:v>44613</c:v>
                </c:pt>
                <c:pt idx="45">
                  <c:v>44620</c:v>
                </c:pt>
                <c:pt idx="46">
                  <c:v>44627</c:v>
                </c:pt>
                <c:pt idx="47">
                  <c:v>44634</c:v>
                </c:pt>
                <c:pt idx="48">
                  <c:v>44641</c:v>
                </c:pt>
                <c:pt idx="49">
                  <c:v>44648</c:v>
                </c:pt>
                <c:pt idx="50">
                  <c:v>44655</c:v>
                </c:pt>
                <c:pt idx="51">
                  <c:v>44662</c:v>
                </c:pt>
                <c:pt idx="52">
                  <c:v>44669</c:v>
                </c:pt>
                <c:pt idx="53">
                  <c:v>44676</c:v>
                </c:pt>
                <c:pt idx="54">
                  <c:v>44683</c:v>
                </c:pt>
                <c:pt idx="55">
                  <c:v>44690</c:v>
                </c:pt>
                <c:pt idx="56">
                  <c:v>44697</c:v>
                </c:pt>
                <c:pt idx="57">
                  <c:v>44704</c:v>
                </c:pt>
                <c:pt idx="58">
                  <c:v>44711</c:v>
                </c:pt>
                <c:pt idx="59">
                  <c:v>44718</c:v>
                </c:pt>
                <c:pt idx="60">
                  <c:v>44725</c:v>
                </c:pt>
                <c:pt idx="61">
                  <c:v>44732</c:v>
                </c:pt>
                <c:pt idx="62">
                  <c:v>44739</c:v>
                </c:pt>
                <c:pt idx="63">
                  <c:v>44746</c:v>
                </c:pt>
                <c:pt idx="64">
                  <c:v>44753</c:v>
                </c:pt>
                <c:pt idx="65">
                  <c:v>44760</c:v>
                </c:pt>
                <c:pt idx="66">
                  <c:v>44767</c:v>
                </c:pt>
                <c:pt idx="67">
                  <c:v>44774</c:v>
                </c:pt>
                <c:pt idx="68">
                  <c:v>44781</c:v>
                </c:pt>
                <c:pt idx="69">
                  <c:v>44788</c:v>
                </c:pt>
                <c:pt idx="70">
                  <c:v>44795</c:v>
                </c:pt>
                <c:pt idx="71">
                  <c:v>44802</c:v>
                </c:pt>
                <c:pt idx="72">
                  <c:v>44809</c:v>
                </c:pt>
                <c:pt idx="73">
                  <c:v>44816</c:v>
                </c:pt>
                <c:pt idx="74">
                  <c:v>44823</c:v>
                </c:pt>
                <c:pt idx="75">
                  <c:v>44830</c:v>
                </c:pt>
                <c:pt idx="76">
                  <c:v>44837</c:v>
                </c:pt>
                <c:pt idx="77">
                  <c:v>44844</c:v>
                </c:pt>
                <c:pt idx="78">
                  <c:v>44851</c:v>
                </c:pt>
                <c:pt idx="79">
                  <c:v>44858</c:v>
                </c:pt>
                <c:pt idx="80">
                  <c:v>44865</c:v>
                </c:pt>
                <c:pt idx="81">
                  <c:v>44872</c:v>
                </c:pt>
                <c:pt idx="82">
                  <c:v>44879</c:v>
                </c:pt>
                <c:pt idx="83">
                  <c:v>44886</c:v>
                </c:pt>
                <c:pt idx="84">
                  <c:v>44893</c:v>
                </c:pt>
                <c:pt idx="85">
                  <c:v>44900</c:v>
                </c:pt>
                <c:pt idx="86">
                  <c:v>44907</c:v>
                </c:pt>
                <c:pt idx="87">
                  <c:v>44914</c:v>
                </c:pt>
                <c:pt idx="88">
                  <c:v>44921</c:v>
                </c:pt>
                <c:pt idx="89">
                  <c:v>44928</c:v>
                </c:pt>
                <c:pt idx="90">
                  <c:v>44935</c:v>
                </c:pt>
                <c:pt idx="91">
                  <c:v>44942</c:v>
                </c:pt>
                <c:pt idx="92">
                  <c:v>44949</c:v>
                </c:pt>
                <c:pt idx="93">
                  <c:v>44956</c:v>
                </c:pt>
                <c:pt idx="94">
                  <c:v>44963</c:v>
                </c:pt>
                <c:pt idx="95">
                  <c:v>44970</c:v>
                </c:pt>
                <c:pt idx="96">
                  <c:v>44977</c:v>
                </c:pt>
                <c:pt idx="97">
                  <c:v>44984</c:v>
                </c:pt>
                <c:pt idx="98">
                  <c:v>44991</c:v>
                </c:pt>
                <c:pt idx="99">
                  <c:v>44998</c:v>
                </c:pt>
                <c:pt idx="100">
                  <c:v>45005</c:v>
                </c:pt>
                <c:pt idx="101">
                  <c:v>45012</c:v>
                </c:pt>
                <c:pt idx="102">
                  <c:v>45019</c:v>
                </c:pt>
                <c:pt idx="103">
                  <c:v>45026</c:v>
                </c:pt>
                <c:pt idx="104">
                  <c:v>45033</c:v>
                </c:pt>
                <c:pt idx="105">
                  <c:v>45040</c:v>
                </c:pt>
                <c:pt idx="106">
                  <c:v>45047</c:v>
                </c:pt>
                <c:pt idx="107">
                  <c:v>45054</c:v>
                </c:pt>
                <c:pt idx="108">
                  <c:v>45061</c:v>
                </c:pt>
                <c:pt idx="109">
                  <c:v>45068</c:v>
                </c:pt>
                <c:pt idx="110">
                  <c:v>45075</c:v>
                </c:pt>
                <c:pt idx="111">
                  <c:v>45082</c:v>
                </c:pt>
                <c:pt idx="112">
                  <c:v>45089</c:v>
                </c:pt>
                <c:pt idx="113">
                  <c:v>45096</c:v>
                </c:pt>
                <c:pt idx="114">
                  <c:v>45103</c:v>
                </c:pt>
                <c:pt idx="115">
                  <c:v>45110</c:v>
                </c:pt>
                <c:pt idx="116">
                  <c:v>45117</c:v>
                </c:pt>
                <c:pt idx="117">
                  <c:v>45124</c:v>
                </c:pt>
                <c:pt idx="118">
                  <c:v>45131</c:v>
                </c:pt>
                <c:pt idx="119">
                  <c:v>45138</c:v>
                </c:pt>
                <c:pt idx="120">
                  <c:v>45145</c:v>
                </c:pt>
                <c:pt idx="121">
                  <c:v>45152</c:v>
                </c:pt>
                <c:pt idx="122">
                  <c:v>45159</c:v>
                </c:pt>
                <c:pt idx="123">
                  <c:v>45166</c:v>
                </c:pt>
                <c:pt idx="124">
                  <c:v>45173</c:v>
                </c:pt>
                <c:pt idx="125">
                  <c:v>45180</c:v>
                </c:pt>
                <c:pt idx="126">
                  <c:v>45187</c:v>
                </c:pt>
                <c:pt idx="127">
                  <c:v>45194</c:v>
                </c:pt>
                <c:pt idx="128">
                  <c:v>45201</c:v>
                </c:pt>
                <c:pt idx="129">
                  <c:v>45208</c:v>
                </c:pt>
                <c:pt idx="130">
                  <c:v>45215</c:v>
                </c:pt>
                <c:pt idx="131">
                  <c:v>45222</c:v>
                </c:pt>
                <c:pt idx="132">
                  <c:v>45229</c:v>
                </c:pt>
                <c:pt idx="133">
                  <c:v>45236</c:v>
                </c:pt>
                <c:pt idx="134">
                  <c:v>45243</c:v>
                </c:pt>
                <c:pt idx="135">
                  <c:v>45250</c:v>
                </c:pt>
                <c:pt idx="136">
                  <c:v>45257</c:v>
                </c:pt>
                <c:pt idx="137">
                  <c:v>45264</c:v>
                </c:pt>
                <c:pt idx="138">
                  <c:v>45271</c:v>
                </c:pt>
                <c:pt idx="139">
                  <c:v>45278</c:v>
                </c:pt>
                <c:pt idx="140">
                  <c:v>45285</c:v>
                </c:pt>
                <c:pt idx="141">
                  <c:v>45292</c:v>
                </c:pt>
                <c:pt idx="142">
                  <c:v>45299</c:v>
                </c:pt>
                <c:pt idx="143">
                  <c:v>45306</c:v>
                </c:pt>
                <c:pt idx="144">
                  <c:v>45313</c:v>
                </c:pt>
                <c:pt idx="145">
                  <c:v>45320</c:v>
                </c:pt>
                <c:pt idx="146">
                  <c:v>45327</c:v>
                </c:pt>
                <c:pt idx="147">
                  <c:v>45334</c:v>
                </c:pt>
                <c:pt idx="148">
                  <c:v>45341</c:v>
                </c:pt>
                <c:pt idx="149">
                  <c:v>45348</c:v>
                </c:pt>
                <c:pt idx="150">
                  <c:v>45355</c:v>
                </c:pt>
                <c:pt idx="151">
                  <c:v>45362</c:v>
                </c:pt>
                <c:pt idx="152">
                  <c:v>45369</c:v>
                </c:pt>
                <c:pt idx="153">
                  <c:v>45376</c:v>
                </c:pt>
                <c:pt idx="154">
                  <c:v>45383</c:v>
                </c:pt>
                <c:pt idx="155">
                  <c:v>45390</c:v>
                </c:pt>
                <c:pt idx="156">
                  <c:v>45397</c:v>
                </c:pt>
                <c:pt idx="157">
                  <c:v>45404</c:v>
                </c:pt>
                <c:pt idx="158">
                  <c:v>45411</c:v>
                </c:pt>
                <c:pt idx="159">
                  <c:v>45418</c:v>
                </c:pt>
                <c:pt idx="160">
                  <c:v>45425</c:v>
                </c:pt>
                <c:pt idx="161">
                  <c:v>45432</c:v>
                </c:pt>
                <c:pt idx="162">
                  <c:v>45439</c:v>
                </c:pt>
                <c:pt idx="163">
                  <c:v>45446</c:v>
                </c:pt>
                <c:pt idx="164">
                  <c:v>45453</c:v>
                </c:pt>
                <c:pt idx="165">
                  <c:v>45460</c:v>
                </c:pt>
                <c:pt idx="166">
                  <c:v>45467</c:v>
                </c:pt>
                <c:pt idx="167">
                  <c:v>45474</c:v>
                </c:pt>
                <c:pt idx="168">
                  <c:v>45481</c:v>
                </c:pt>
                <c:pt idx="169">
                  <c:v>45488</c:v>
                </c:pt>
                <c:pt idx="170">
                  <c:v>45495</c:v>
                </c:pt>
                <c:pt idx="171">
                  <c:v>45502</c:v>
                </c:pt>
                <c:pt idx="172">
                  <c:v>45509</c:v>
                </c:pt>
                <c:pt idx="173">
                  <c:v>45516</c:v>
                </c:pt>
                <c:pt idx="174">
                  <c:v>45523</c:v>
                </c:pt>
                <c:pt idx="175">
                  <c:v>45530</c:v>
                </c:pt>
                <c:pt idx="176">
                  <c:v>45537</c:v>
                </c:pt>
                <c:pt idx="177">
                  <c:v>45544</c:v>
                </c:pt>
                <c:pt idx="178">
                  <c:v>45551</c:v>
                </c:pt>
                <c:pt idx="179">
                  <c:v>45558</c:v>
                </c:pt>
                <c:pt idx="180">
                  <c:v>45565</c:v>
                </c:pt>
                <c:pt idx="181">
                  <c:v>45572</c:v>
                </c:pt>
                <c:pt idx="182">
                  <c:v>45579</c:v>
                </c:pt>
                <c:pt idx="183">
                  <c:v>45586</c:v>
                </c:pt>
                <c:pt idx="184">
                  <c:v>45593</c:v>
                </c:pt>
                <c:pt idx="185">
                  <c:v>45600</c:v>
                </c:pt>
                <c:pt idx="186">
                  <c:v>45607</c:v>
                </c:pt>
                <c:pt idx="187">
                  <c:v>45614</c:v>
                </c:pt>
                <c:pt idx="188">
                  <c:v>45621</c:v>
                </c:pt>
                <c:pt idx="189">
                  <c:v>45628</c:v>
                </c:pt>
                <c:pt idx="190">
                  <c:v>45635</c:v>
                </c:pt>
                <c:pt idx="191">
                  <c:v>45642</c:v>
                </c:pt>
                <c:pt idx="192">
                  <c:v>45649</c:v>
                </c:pt>
                <c:pt idx="193">
                  <c:v>45656</c:v>
                </c:pt>
                <c:pt idx="194">
                  <c:v>45663</c:v>
                </c:pt>
                <c:pt idx="195">
                  <c:v>45670</c:v>
                </c:pt>
                <c:pt idx="196">
                  <c:v>45677</c:v>
                </c:pt>
                <c:pt idx="197">
                  <c:v>45684</c:v>
                </c:pt>
                <c:pt idx="198">
                  <c:v>45691</c:v>
                </c:pt>
                <c:pt idx="199">
                  <c:v>45698</c:v>
                </c:pt>
                <c:pt idx="200">
                  <c:v>45705</c:v>
                </c:pt>
                <c:pt idx="201">
                  <c:v>45712</c:v>
                </c:pt>
                <c:pt idx="202">
                  <c:v>45719</c:v>
                </c:pt>
                <c:pt idx="203">
                  <c:v>45726</c:v>
                </c:pt>
                <c:pt idx="204">
                  <c:v>45733</c:v>
                </c:pt>
                <c:pt idx="205">
                  <c:v>45740</c:v>
                </c:pt>
                <c:pt idx="206">
                  <c:v>45747</c:v>
                </c:pt>
                <c:pt idx="207">
                  <c:v>45754</c:v>
                </c:pt>
                <c:pt idx="208">
                  <c:v>45761</c:v>
                </c:pt>
                <c:pt idx="209">
                  <c:v>45768</c:v>
                </c:pt>
                <c:pt idx="210">
                  <c:v>45775</c:v>
                </c:pt>
                <c:pt idx="211">
                  <c:v>45782</c:v>
                </c:pt>
                <c:pt idx="212">
                  <c:v>45789</c:v>
                </c:pt>
                <c:pt idx="213">
                  <c:v>45796</c:v>
                </c:pt>
                <c:pt idx="214">
                  <c:v>45803</c:v>
                </c:pt>
                <c:pt idx="215">
                  <c:v>45810</c:v>
                </c:pt>
                <c:pt idx="216">
                  <c:v>45817</c:v>
                </c:pt>
                <c:pt idx="217">
                  <c:v>45824</c:v>
                </c:pt>
                <c:pt idx="218">
                  <c:v>45831</c:v>
                </c:pt>
                <c:pt idx="219">
                  <c:v>45838</c:v>
                </c:pt>
                <c:pt idx="220">
                  <c:v>45845</c:v>
                </c:pt>
                <c:pt idx="221">
                  <c:v>45852</c:v>
                </c:pt>
                <c:pt idx="222">
                  <c:v>45859</c:v>
                </c:pt>
                <c:pt idx="223">
                  <c:v>45866</c:v>
                </c:pt>
                <c:pt idx="224">
                  <c:v>45873</c:v>
                </c:pt>
                <c:pt idx="225">
                  <c:v>45880</c:v>
                </c:pt>
                <c:pt idx="226">
                  <c:v>45887</c:v>
                </c:pt>
                <c:pt idx="227">
                  <c:v>45894</c:v>
                </c:pt>
                <c:pt idx="228">
                  <c:v>45901</c:v>
                </c:pt>
                <c:pt idx="229">
                  <c:v>45908</c:v>
                </c:pt>
                <c:pt idx="230">
                  <c:v>45915</c:v>
                </c:pt>
                <c:pt idx="231">
                  <c:v>45922</c:v>
                </c:pt>
                <c:pt idx="232">
                  <c:v>45929</c:v>
                </c:pt>
                <c:pt idx="233">
                  <c:v>45936</c:v>
                </c:pt>
                <c:pt idx="234">
                  <c:v>45943</c:v>
                </c:pt>
                <c:pt idx="235">
                  <c:v>45950</c:v>
                </c:pt>
                <c:pt idx="236">
                  <c:v>45957</c:v>
                </c:pt>
                <c:pt idx="237">
                  <c:v>45964</c:v>
                </c:pt>
                <c:pt idx="238">
                  <c:v>45971</c:v>
                </c:pt>
                <c:pt idx="239">
                  <c:v>45978</c:v>
                </c:pt>
                <c:pt idx="240">
                  <c:v>45985</c:v>
                </c:pt>
                <c:pt idx="241">
                  <c:v>45992</c:v>
                </c:pt>
                <c:pt idx="242">
                  <c:v>45999</c:v>
                </c:pt>
                <c:pt idx="243">
                  <c:v>46006</c:v>
                </c:pt>
                <c:pt idx="244">
                  <c:v>46013</c:v>
                </c:pt>
                <c:pt idx="245">
                  <c:v>46020</c:v>
                </c:pt>
                <c:pt idx="246">
                  <c:v>46027</c:v>
                </c:pt>
                <c:pt idx="247">
                  <c:v>46034</c:v>
                </c:pt>
                <c:pt idx="248">
                  <c:v>46041</c:v>
                </c:pt>
                <c:pt idx="249">
                  <c:v>46048</c:v>
                </c:pt>
                <c:pt idx="250">
                  <c:v>46055</c:v>
                </c:pt>
                <c:pt idx="251">
                  <c:v>46062</c:v>
                </c:pt>
                <c:pt idx="252">
                  <c:v>46069</c:v>
                </c:pt>
                <c:pt idx="253">
                  <c:v>46076</c:v>
                </c:pt>
                <c:pt idx="254">
                  <c:v>46083</c:v>
                </c:pt>
                <c:pt idx="255">
                  <c:v>46090</c:v>
                </c:pt>
                <c:pt idx="256">
                  <c:v>46097</c:v>
                </c:pt>
                <c:pt idx="257">
                  <c:v>46104</c:v>
                </c:pt>
                <c:pt idx="258">
                  <c:v>46111</c:v>
                </c:pt>
                <c:pt idx="259">
                  <c:v>46118</c:v>
                </c:pt>
                <c:pt idx="260">
                  <c:v>46125</c:v>
                </c:pt>
                <c:pt idx="261">
                  <c:v>46129</c:v>
                </c:pt>
              </c:numCache>
            </c:numRef>
          </c:cat>
          <c:val>
            <c:numRef>
              <c:f>'Share Price'!$C$3:$C$264</c:f>
              <c:numCache>
                <c:formatCode>#,##0.0</c:formatCode>
                <c:ptCount val="262"/>
                <c:pt idx="0">
                  <c:v>161.43</c:v>
                </c:pt>
                <c:pt idx="1">
                  <c:v>159.27000000000001</c:v>
                </c:pt>
                <c:pt idx="2">
                  <c:v>161.43</c:v>
                </c:pt>
                <c:pt idx="3">
                  <c:v>166.85</c:v>
                </c:pt>
                <c:pt idx="4">
                  <c:v>164.34</c:v>
                </c:pt>
                <c:pt idx="5">
                  <c:v>167.36</c:v>
                </c:pt>
                <c:pt idx="6">
                  <c:v>164.1</c:v>
                </c:pt>
                <c:pt idx="7">
                  <c:v>163.43</c:v>
                </c:pt>
                <c:pt idx="8">
                  <c:v>165.45</c:v>
                </c:pt>
                <c:pt idx="9">
                  <c:v>165.85</c:v>
                </c:pt>
                <c:pt idx="10">
                  <c:v>163.71</c:v>
                </c:pt>
                <c:pt idx="11">
                  <c:v>162.86000000000001</c:v>
                </c:pt>
                <c:pt idx="12">
                  <c:v>168.16</c:v>
                </c:pt>
                <c:pt idx="13">
                  <c:v>171.8</c:v>
                </c:pt>
                <c:pt idx="14">
                  <c:v>165.77</c:v>
                </c:pt>
                <c:pt idx="15">
                  <c:v>173.29</c:v>
                </c:pt>
                <c:pt idx="16">
                  <c:v>171.03</c:v>
                </c:pt>
                <c:pt idx="17">
                  <c:v>168.97</c:v>
                </c:pt>
                <c:pt idx="18">
                  <c:v>166.54</c:v>
                </c:pt>
                <c:pt idx="19">
                  <c:v>170.34</c:v>
                </c:pt>
                <c:pt idx="20">
                  <c:v>172</c:v>
                </c:pt>
                <c:pt idx="21">
                  <c:v>186.96</c:v>
                </c:pt>
                <c:pt idx="22">
                  <c:v>192.87</c:v>
                </c:pt>
                <c:pt idx="23">
                  <c:v>190.36</c:v>
                </c:pt>
                <c:pt idx="24">
                  <c:v>187.41</c:v>
                </c:pt>
                <c:pt idx="25">
                  <c:v>207.51</c:v>
                </c:pt>
                <c:pt idx="26">
                  <c:v>191.37</c:v>
                </c:pt>
                <c:pt idx="27">
                  <c:v>180.53</c:v>
                </c:pt>
                <c:pt idx="28">
                  <c:v>183.24</c:v>
                </c:pt>
                <c:pt idx="29">
                  <c:v>188.38</c:v>
                </c:pt>
                <c:pt idx="30">
                  <c:v>192.1</c:v>
                </c:pt>
                <c:pt idx="31">
                  <c:v>181.18</c:v>
                </c:pt>
                <c:pt idx="32">
                  <c:v>179.28</c:v>
                </c:pt>
                <c:pt idx="33">
                  <c:v>190.97</c:v>
                </c:pt>
                <c:pt idx="34">
                  <c:v>176.29</c:v>
                </c:pt>
                <c:pt idx="35">
                  <c:v>176.33</c:v>
                </c:pt>
                <c:pt idx="36">
                  <c:v>176.37</c:v>
                </c:pt>
                <c:pt idx="37">
                  <c:v>176.65</c:v>
                </c:pt>
                <c:pt idx="38">
                  <c:v>180.05</c:v>
                </c:pt>
                <c:pt idx="39">
                  <c:v>175.56</c:v>
                </c:pt>
                <c:pt idx="40">
                  <c:v>176</c:v>
                </c:pt>
                <c:pt idx="41">
                  <c:v>189.51</c:v>
                </c:pt>
                <c:pt idx="42">
                  <c:v>188.02</c:v>
                </c:pt>
                <c:pt idx="43">
                  <c:v>179.48</c:v>
                </c:pt>
                <c:pt idx="44">
                  <c:v>177.21</c:v>
                </c:pt>
                <c:pt idx="45">
                  <c:v>186.77</c:v>
                </c:pt>
                <c:pt idx="46">
                  <c:v>195.76</c:v>
                </c:pt>
                <c:pt idx="47">
                  <c:v>202.84</c:v>
                </c:pt>
                <c:pt idx="48">
                  <c:v>209.84</c:v>
                </c:pt>
                <c:pt idx="49">
                  <c:v>209.8</c:v>
                </c:pt>
                <c:pt idx="50">
                  <c:v>221.81</c:v>
                </c:pt>
                <c:pt idx="51">
                  <c:v>223.26</c:v>
                </c:pt>
                <c:pt idx="52">
                  <c:v>216.26</c:v>
                </c:pt>
                <c:pt idx="53">
                  <c:v>214.98</c:v>
                </c:pt>
                <c:pt idx="54">
                  <c:v>220.86</c:v>
                </c:pt>
                <c:pt idx="55">
                  <c:v>214.19</c:v>
                </c:pt>
                <c:pt idx="56">
                  <c:v>231.92</c:v>
                </c:pt>
                <c:pt idx="57">
                  <c:v>222.97</c:v>
                </c:pt>
                <c:pt idx="58">
                  <c:v>231.38</c:v>
                </c:pt>
                <c:pt idx="59">
                  <c:v>229.21</c:v>
                </c:pt>
                <c:pt idx="60">
                  <c:v>223.4</c:v>
                </c:pt>
                <c:pt idx="61">
                  <c:v>225.56</c:v>
                </c:pt>
                <c:pt idx="62">
                  <c:v>241.26</c:v>
                </c:pt>
                <c:pt idx="63">
                  <c:v>248.64</c:v>
                </c:pt>
                <c:pt idx="64">
                  <c:v>249.07</c:v>
                </c:pt>
                <c:pt idx="65">
                  <c:v>255.01</c:v>
                </c:pt>
                <c:pt idx="66">
                  <c:v>257.13</c:v>
                </c:pt>
                <c:pt idx="67">
                  <c:v>263.74</c:v>
                </c:pt>
                <c:pt idx="68">
                  <c:v>261.79000000000002</c:v>
                </c:pt>
                <c:pt idx="69">
                  <c:v>264.72000000000003</c:v>
                </c:pt>
                <c:pt idx="70">
                  <c:v>265.48</c:v>
                </c:pt>
                <c:pt idx="71">
                  <c:v>274.18</c:v>
                </c:pt>
                <c:pt idx="72">
                  <c:v>280.42</c:v>
                </c:pt>
                <c:pt idx="73">
                  <c:v>281.10000000000002</c:v>
                </c:pt>
                <c:pt idx="74">
                  <c:v>293.91000000000003</c:v>
                </c:pt>
                <c:pt idx="75">
                  <c:v>281.86</c:v>
                </c:pt>
                <c:pt idx="76">
                  <c:v>283.47000000000003</c:v>
                </c:pt>
                <c:pt idx="77">
                  <c:v>281.77</c:v>
                </c:pt>
                <c:pt idx="78">
                  <c:v>293.23</c:v>
                </c:pt>
                <c:pt idx="79">
                  <c:v>293.39999999999998</c:v>
                </c:pt>
                <c:pt idx="80">
                  <c:v>300.02</c:v>
                </c:pt>
                <c:pt idx="81">
                  <c:v>302.35000000000002</c:v>
                </c:pt>
                <c:pt idx="82">
                  <c:v>289.37</c:v>
                </c:pt>
                <c:pt idx="83">
                  <c:v>288.73</c:v>
                </c:pt>
                <c:pt idx="84">
                  <c:v>286.06</c:v>
                </c:pt>
                <c:pt idx="85">
                  <c:v>289.67</c:v>
                </c:pt>
                <c:pt idx="86">
                  <c:v>284.32</c:v>
                </c:pt>
                <c:pt idx="87">
                  <c:v>277.19</c:v>
                </c:pt>
                <c:pt idx="88">
                  <c:v>281.31</c:v>
                </c:pt>
                <c:pt idx="89">
                  <c:v>284.27999999999997</c:v>
                </c:pt>
                <c:pt idx="90">
                  <c:v>278.93</c:v>
                </c:pt>
                <c:pt idx="91">
                  <c:v>283.89999999999998</c:v>
                </c:pt>
                <c:pt idx="92">
                  <c:v>293.57</c:v>
                </c:pt>
                <c:pt idx="93">
                  <c:v>322.97000000000003</c:v>
                </c:pt>
                <c:pt idx="94">
                  <c:v>315.08</c:v>
                </c:pt>
                <c:pt idx="95">
                  <c:v>325.3</c:v>
                </c:pt>
                <c:pt idx="96">
                  <c:v>332.1</c:v>
                </c:pt>
                <c:pt idx="97">
                  <c:v>331.97</c:v>
                </c:pt>
                <c:pt idx="98">
                  <c:v>334.6</c:v>
                </c:pt>
                <c:pt idx="99">
                  <c:v>323.86</c:v>
                </c:pt>
                <c:pt idx="100">
                  <c:v>326.58</c:v>
                </c:pt>
                <c:pt idx="101">
                  <c:v>330.72</c:v>
                </c:pt>
                <c:pt idx="102">
                  <c:v>334.04</c:v>
                </c:pt>
                <c:pt idx="103">
                  <c:v>341.15</c:v>
                </c:pt>
                <c:pt idx="104">
                  <c:v>352.06</c:v>
                </c:pt>
                <c:pt idx="105">
                  <c:v>366.98</c:v>
                </c:pt>
                <c:pt idx="106">
                  <c:v>369.74</c:v>
                </c:pt>
                <c:pt idx="107">
                  <c:v>362.58</c:v>
                </c:pt>
                <c:pt idx="108">
                  <c:v>362.07</c:v>
                </c:pt>
                <c:pt idx="109">
                  <c:v>382.55</c:v>
                </c:pt>
                <c:pt idx="110">
                  <c:v>382.37</c:v>
                </c:pt>
                <c:pt idx="111">
                  <c:v>386.6</c:v>
                </c:pt>
                <c:pt idx="112">
                  <c:v>399.52</c:v>
                </c:pt>
                <c:pt idx="113">
                  <c:v>392.15</c:v>
                </c:pt>
                <c:pt idx="114">
                  <c:v>398.19</c:v>
                </c:pt>
                <c:pt idx="115">
                  <c:v>413.01</c:v>
                </c:pt>
                <c:pt idx="116">
                  <c:v>416.97</c:v>
                </c:pt>
                <c:pt idx="117">
                  <c:v>432.45</c:v>
                </c:pt>
                <c:pt idx="118">
                  <c:v>413.05</c:v>
                </c:pt>
                <c:pt idx="119">
                  <c:v>401.15</c:v>
                </c:pt>
                <c:pt idx="120">
                  <c:v>395.68</c:v>
                </c:pt>
                <c:pt idx="121">
                  <c:v>389.42</c:v>
                </c:pt>
                <c:pt idx="122">
                  <c:v>390.92</c:v>
                </c:pt>
                <c:pt idx="123">
                  <c:v>388.89</c:v>
                </c:pt>
                <c:pt idx="124">
                  <c:v>390.3</c:v>
                </c:pt>
                <c:pt idx="125">
                  <c:v>395.33</c:v>
                </c:pt>
                <c:pt idx="126">
                  <c:v>390.7</c:v>
                </c:pt>
                <c:pt idx="127">
                  <c:v>391.84</c:v>
                </c:pt>
                <c:pt idx="128">
                  <c:v>389.86</c:v>
                </c:pt>
                <c:pt idx="129">
                  <c:v>395.33</c:v>
                </c:pt>
                <c:pt idx="130">
                  <c:v>386.47</c:v>
                </c:pt>
                <c:pt idx="131">
                  <c:v>382.45</c:v>
                </c:pt>
                <c:pt idx="132">
                  <c:v>382.01</c:v>
                </c:pt>
                <c:pt idx="133">
                  <c:v>384.92</c:v>
                </c:pt>
                <c:pt idx="134">
                  <c:v>387.3</c:v>
                </c:pt>
                <c:pt idx="135">
                  <c:v>386.03</c:v>
                </c:pt>
                <c:pt idx="136">
                  <c:v>396.61</c:v>
                </c:pt>
                <c:pt idx="137">
                  <c:v>396.03</c:v>
                </c:pt>
                <c:pt idx="138">
                  <c:v>404.01</c:v>
                </c:pt>
                <c:pt idx="139">
                  <c:v>401.37</c:v>
                </c:pt>
                <c:pt idx="140">
                  <c:v>407.45</c:v>
                </c:pt>
                <c:pt idx="141">
                  <c:v>417.9</c:v>
                </c:pt>
                <c:pt idx="142">
                  <c:v>411.51</c:v>
                </c:pt>
                <c:pt idx="143">
                  <c:v>415.74</c:v>
                </c:pt>
                <c:pt idx="144">
                  <c:v>401.76</c:v>
                </c:pt>
                <c:pt idx="145">
                  <c:v>388.05</c:v>
                </c:pt>
                <c:pt idx="146">
                  <c:v>366.36</c:v>
                </c:pt>
                <c:pt idx="147">
                  <c:v>362.2</c:v>
                </c:pt>
                <c:pt idx="148">
                  <c:v>368.28</c:v>
                </c:pt>
                <c:pt idx="149">
                  <c:v>366.58</c:v>
                </c:pt>
                <c:pt idx="150">
                  <c:v>370.21</c:v>
                </c:pt>
                <c:pt idx="151">
                  <c:v>375.18</c:v>
                </c:pt>
                <c:pt idx="152">
                  <c:v>383.68</c:v>
                </c:pt>
                <c:pt idx="153">
                  <c:v>383.46</c:v>
                </c:pt>
                <c:pt idx="154">
                  <c:v>382.74</c:v>
                </c:pt>
                <c:pt idx="155">
                  <c:v>385.02</c:v>
                </c:pt>
                <c:pt idx="156">
                  <c:v>380.23</c:v>
                </c:pt>
                <c:pt idx="157">
                  <c:v>393.89</c:v>
                </c:pt>
                <c:pt idx="158">
                  <c:v>390.71</c:v>
                </c:pt>
                <c:pt idx="159">
                  <c:v>387.93</c:v>
                </c:pt>
                <c:pt idx="160">
                  <c:v>390.89</c:v>
                </c:pt>
                <c:pt idx="161">
                  <c:v>390.48</c:v>
                </c:pt>
                <c:pt idx="162">
                  <c:v>381.76</c:v>
                </c:pt>
                <c:pt idx="163">
                  <c:v>393.12</c:v>
                </c:pt>
                <c:pt idx="164">
                  <c:v>393.08</c:v>
                </c:pt>
                <c:pt idx="165">
                  <c:v>382.55</c:v>
                </c:pt>
                <c:pt idx="166">
                  <c:v>387.38</c:v>
                </c:pt>
                <c:pt idx="167">
                  <c:v>395.96</c:v>
                </c:pt>
                <c:pt idx="168">
                  <c:v>418.51</c:v>
                </c:pt>
                <c:pt idx="169">
                  <c:v>432.65</c:v>
                </c:pt>
                <c:pt idx="170">
                  <c:v>457.85</c:v>
                </c:pt>
                <c:pt idx="171">
                  <c:v>445.91</c:v>
                </c:pt>
                <c:pt idx="172">
                  <c:v>452.11</c:v>
                </c:pt>
                <c:pt idx="173">
                  <c:v>458.26</c:v>
                </c:pt>
                <c:pt idx="174">
                  <c:v>461.14</c:v>
                </c:pt>
                <c:pt idx="175">
                  <c:v>457.58</c:v>
                </c:pt>
                <c:pt idx="176">
                  <c:v>457.4</c:v>
                </c:pt>
                <c:pt idx="177">
                  <c:v>468.47</c:v>
                </c:pt>
                <c:pt idx="178">
                  <c:v>468.98</c:v>
                </c:pt>
                <c:pt idx="179">
                  <c:v>476.54</c:v>
                </c:pt>
                <c:pt idx="180">
                  <c:v>459.08</c:v>
                </c:pt>
                <c:pt idx="181">
                  <c:v>445.09</c:v>
                </c:pt>
                <c:pt idx="182">
                  <c:v>443.72</c:v>
                </c:pt>
                <c:pt idx="183">
                  <c:v>439.71</c:v>
                </c:pt>
                <c:pt idx="184">
                  <c:v>447</c:v>
                </c:pt>
                <c:pt idx="185">
                  <c:v>435.84</c:v>
                </c:pt>
                <c:pt idx="186">
                  <c:v>424.8</c:v>
                </c:pt>
                <c:pt idx="187">
                  <c:v>432.74</c:v>
                </c:pt>
                <c:pt idx="188">
                  <c:v>434.65</c:v>
                </c:pt>
                <c:pt idx="189">
                  <c:v>429.55</c:v>
                </c:pt>
                <c:pt idx="190">
                  <c:v>428.5</c:v>
                </c:pt>
                <c:pt idx="191">
                  <c:v>423.62</c:v>
                </c:pt>
                <c:pt idx="192">
                  <c:v>436.34</c:v>
                </c:pt>
                <c:pt idx="193">
                  <c:v>439.07</c:v>
                </c:pt>
                <c:pt idx="194">
                  <c:v>421.23</c:v>
                </c:pt>
                <c:pt idx="195">
                  <c:v>416.78</c:v>
                </c:pt>
                <c:pt idx="196">
                  <c:v>418.11</c:v>
                </c:pt>
                <c:pt idx="197">
                  <c:v>437.95</c:v>
                </c:pt>
                <c:pt idx="198">
                  <c:v>407.93</c:v>
                </c:pt>
                <c:pt idx="199">
                  <c:v>388.43</c:v>
                </c:pt>
                <c:pt idx="200">
                  <c:v>385.57</c:v>
                </c:pt>
                <c:pt idx="201">
                  <c:v>379.89</c:v>
                </c:pt>
                <c:pt idx="202">
                  <c:v>388.45</c:v>
                </c:pt>
                <c:pt idx="203">
                  <c:v>396.29</c:v>
                </c:pt>
                <c:pt idx="204">
                  <c:v>390.04</c:v>
                </c:pt>
                <c:pt idx="205">
                  <c:v>394.08</c:v>
                </c:pt>
                <c:pt idx="206">
                  <c:v>394.03</c:v>
                </c:pt>
                <c:pt idx="207">
                  <c:v>405.43</c:v>
                </c:pt>
                <c:pt idx="208">
                  <c:v>410.91</c:v>
                </c:pt>
                <c:pt idx="209">
                  <c:v>411.44</c:v>
                </c:pt>
                <c:pt idx="210">
                  <c:v>413.07</c:v>
                </c:pt>
                <c:pt idx="211">
                  <c:v>407.35</c:v>
                </c:pt>
                <c:pt idx="212">
                  <c:v>419.04</c:v>
                </c:pt>
                <c:pt idx="213">
                  <c:v>419.61</c:v>
                </c:pt>
                <c:pt idx="214">
                  <c:v>402.06</c:v>
                </c:pt>
                <c:pt idx="215">
                  <c:v>412.41</c:v>
                </c:pt>
                <c:pt idx="216">
                  <c:v>405.4</c:v>
                </c:pt>
                <c:pt idx="217">
                  <c:v>409.96</c:v>
                </c:pt>
                <c:pt idx="218">
                  <c:v>410.06</c:v>
                </c:pt>
                <c:pt idx="219">
                  <c:v>404.08</c:v>
                </c:pt>
                <c:pt idx="220">
                  <c:v>408.24</c:v>
                </c:pt>
                <c:pt idx="221">
                  <c:v>414.07</c:v>
                </c:pt>
                <c:pt idx="222">
                  <c:v>401</c:v>
                </c:pt>
                <c:pt idx="223">
                  <c:v>407.9</c:v>
                </c:pt>
                <c:pt idx="224">
                  <c:v>405.99</c:v>
                </c:pt>
                <c:pt idx="225">
                  <c:v>403</c:v>
                </c:pt>
                <c:pt idx="226">
                  <c:v>390.12</c:v>
                </c:pt>
                <c:pt idx="227">
                  <c:v>401.34</c:v>
                </c:pt>
                <c:pt idx="228">
                  <c:v>398.99</c:v>
                </c:pt>
                <c:pt idx="229">
                  <c:v>405.26</c:v>
                </c:pt>
                <c:pt idx="230">
                  <c:v>402.22</c:v>
                </c:pt>
                <c:pt idx="231">
                  <c:v>396.78</c:v>
                </c:pt>
                <c:pt idx="232">
                  <c:v>396</c:v>
                </c:pt>
                <c:pt idx="233">
                  <c:v>394.53</c:v>
                </c:pt>
                <c:pt idx="234">
                  <c:v>403.69</c:v>
                </c:pt>
                <c:pt idx="235">
                  <c:v>416.8</c:v>
                </c:pt>
                <c:pt idx="236">
                  <c:v>411.72</c:v>
                </c:pt>
                <c:pt idx="237">
                  <c:v>395.76</c:v>
                </c:pt>
                <c:pt idx="238">
                  <c:v>399.77</c:v>
                </c:pt>
                <c:pt idx="239">
                  <c:v>399.48</c:v>
                </c:pt>
                <c:pt idx="240">
                  <c:v>395.95</c:v>
                </c:pt>
                <c:pt idx="241">
                  <c:v>396.64</c:v>
                </c:pt>
                <c:pt idx="242">
                  <c:v>391.89</c:v>
                </c:pt>
                <c:pt idx="243">
                  <c:v>392.82</c:v>
                </c:pt>
                <c:pt idx="244">
                  <c:v>395.85</c:v>
                </c:pt>
                <c:pt idx="245">
                  <c:v>342.86</c:v>
                </c:pt>
                <c:pt idx="246">
                  <c:v>330.23</c:v>
                </c:pt>
                <c:pt idx="247">
                  <c:v>322.44</c:v>
                </c:pt>
                <c:pt idx="248">
                  <c:v>316.76</c:v>
                </c:pt>
                <c:pt idx="249">
                  <c:v>303.10000000000002</c:v>
                </c:pt>
                <c:pt idx="250">
                  <c:v>319.11</c:v>
                </c:pt>
                <c:pt idx="251">
                  <c:v>313.75</c:v>
                </c:pt>
                <c:pt idx="252">
                  <c:v>327</c:v>
                </c:pt>
                <c:pt idx="253">
                  <c:v>313.60000000000002</c:v>
                </c:pt>
                <c:pt idx="254">
                  <c:v>309.7</c:v>
                </c:pt>
                <c:pt idx="255">
                  <c:v>301.45</c:v>
                </c:pt>
                <c:pt idx="256">
                  <c:v>299.95</c:v>
                </c:pt>
                <c:pt idx="257">
                  <c:v>294.7</c:v>
                </c:pt>
                <c:pt idx="258">
                  <c:v>292.85000000000002</c:v>
                </c:pt>
                <c:pt idx="259">
                  <c:v>304.25</c:v>
                </c:pt>
                <c:pt idx="260">
                  <c:v>306.8</c:v>
                </c:pt>
                <c:pt idx="261">
                  <c:v>306.8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6B-8948-A179-6F55401AF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335423"/>
        <c:axId val="1022412095"/>
      </c:lineChart>
      <c:dateAx>
        <c:axId val="165335423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2412095"/>
        <c:crosses val="autoZero"/>
        <c:auto val="1"/>
        <c:lblOffset val="100"/>
        <c:baseTimeUnit val="days"/>
      </c:dateAx>
      <c:valAx>
        <c:axId val="1022412095"/>
        <c:scaling>
          <c:orientation val="minMax"/>
          <c:min val="100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335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'Share Price'!$D$2</c:f>
              <c:strCache>
                <c:ptCount val="1"/>
                <c:pt idx="0">
                  <c:v>Volume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numRef>
              <c:f>'Share Price'!$B$3:$B$264</c:f>
              <c:numCache>
                <c:formatCode>m/d/yy</c:formatCode>
                <c:ptCount val="262"/>
                <c:pt idx="0">
                  <c:v>44305</c:v>
                </c:pt>
                <c:pt idx="1">
                  <c:v>44312</c:v>
                </c:pt>
                <c:pt idx="2">
                  <c:v>44319</c:v>
                </c:pt>
                <c:pt idx="3">
                  <c:v>44326</c:v>
                </c:pt>
                <c:pt idx="4">
                  <c:v>44333</c:v>
                </c:pt>
                <c:pt idx="5">
                  <c:v>44340</c:v>
                </c:pt>
                <c:pt idx="6">
                  <c:v>44347</c:v>
                </c:pt>
                <c:pt idx="7">
                  <c:v>44354</c:v>
                </c:pt>
                <c:pt idx="8">
                  <c:v>44361</c:v>
                </c:pt>
                <c:pt idx="9">
                  <c:v>44368</c:v>
                </c:pt>
                <c:pt idx="10">
                  <c:v>44375</c:v>
                </c:pt>
                <c:pt idx="11">
                  <c:v>44382</c:v>
                </c:pt>
                <c:pt idx="12">
                  <c:v>44389</c:v>
                </c:pt>
                <c:pt idx="13">
                  <c:v>44396</c:v>
                </c:pt>
                <c:pt idx="14">
                  <c:v>44403</c:v>
                </c:pt>
                <c:pt idx="15">
                  <c:v>44410</c:v>
                </c:pt>
                <c:pt idx="16">
                  <c:v>44417</c:v>
                </c:pt>
                <c:pt idx="17">
                  <c:v>44424</c:v>
                </c:pt>
                <c:pt idx="18">
                  <c:v>44431</c:v>
                </c:pt>
                <c:pt idx="19">
                  <c:v>44438</c:v>
                </c:pt>
                <c:pt idx="20">
                  <c:v>44445</c:v>
                </c:pt>
                <c:pt idx="21">
                  <c:v>44452</c:v>
                </c:pt>
                <c:pt idx="22">
                  <c:v>44459</c:v>
                </c:pt>
                <c:pt idx="23">
                  <c:v>44466</c:v>
                </c:pt>
                <c:pt idx="24">
                  <c:v>44473</c:v>
                </c:pt>
                <c:pt idx="25">
                  <c:v>44480</c:v>
                </c:pt>
                <c:pt idx="26">
                  <c:v>44487</c:v>
                </c:pt>
                <c:pt idx="27">
                  <c:v>44494</c:v>
                </c:pt>
                <c:pt idx="28">
                  <c:v>44501</c:v>
                </c:pt>
                <c:pt idx="29">
                  <c:v>44508</c:v>
                </c:pt>
                <c:pt idx="30">
                  <c:v>44515</c:v>
                </c:pt>
                <c:pt idx="31">
                  <c:v>44522</c:v>
                </c:pt>
                <c:pt idx="32">
                  <c:v>44529</c:v>
                </c:pt>
                <c:pt idx="33">
                  <c:v>44536</c:v>
                </c:pt>
                <c:pt idx="34">
                  <c:v>44543</c:v>
                </c:pt>
                <c:pt idx="35">
                  <c:v>44550</c:v>
                </c:pt>
                <c:pt idx="36">
                  <c:v>44557</c:v>
                </c:pt>
                <c:pt idx="37">
                  <c:v>44564</c:v>
                </c:pt>
                <c:pt idx="38">
                  <c:v>44571</c:v>
                </c:pt>
                <c:pt idx="39">
                  <c:v>44578</c:v>
                </c:pt>
                <c:pt idx="40">
                  <c:v>44585</c:v>
                </c:pt>
                <c:pt idx="41">
                  <c:v>44592</c:v>
                </c:pt>
                <c:pt idx="42">
                  <c:v>44599</c:v>
                </c:pt>
                <c:pt idx="43">
                  <c:v>44606</c:v>
                </c:pt>
                <c:pt idx="44">
                  <c:v>44613</c:v>
                </c:pt>
                <c:pt idx="45">
                  <c:v>44620</c:v>
                </c:pt>
                <c:pt idx="46">
                  <c:v>44627</c:v>
                </c:pt>
                <c:pt idx="47">
                  <c:v>44634</c:v>
                </c:pt>
                <c:pt idx="48">
                  <c:v>44641</c:v>
                </c:pt>
                <c:pt idx="49">
                  <c:v>44648</c:v>
                </c:pt>
                <c:pt idx="50">
                  <c:v>44655</c:v>
                </c:pt>
                <c:pt idx="51">
                  <c:v>44662</c:v>
                </c:pt>
                <c:pt idx="52">
                  <c:v>44669</c:v>
                </c:pt>
                <c:pt idx="53">
                  <c:v>44676</c:v>
                </c:pt>
                <c:pt idx="54">
                  <c:v>44683</c:v>
                </c:pt>
                <c:pt idx="55">
                  <c:v>44690</c:v>
                </c:pt>
                <c:pt idx="56">
                  <c:v>44697</c:v>
                </c:pt>
                <c:pt idx="57">
                  <c:v>44704</c:v>
                </c:pt>
                <c:pt idx="58">
                  <c:v>44711</c:v>
                </c:pt>
                <c:pt idx="59">
                  <c:v>44718</c:v>
                </c:pt>
                <c:pt idx="60">
                  <c:v>44725</c:v>
                </c:pt>
                <c:pt idx="61">
                  <c:v>44732</c:v>
                </c:pt>
                <c:pt idx="62">
                  <c:v>44739</c:v>
                </c:pt>
                <c:pt idx="63">
                  <c:v>44746</c:v>
                </c:pt>
                <c:pt idx="64">
                  <c:v>44753</c:v>
                </c:pt>
                <c:pt idx="65">
                  <c:v>44760</c:v>
                </c:pt>
                <c:pt idx="66">
                  <c:v>44767</c:v>
                </c:pt>
                <c:pt idx="67">
                  <c:v>44774</c:v>
                </c:pt>
                <c:pt idx="68">
                  <c:v>44781</c:v>
                </c:pt>
                <c:pt idx="69">
                  <c:v>44788</c:v>
                </c:pt>
                <c:pt idx="70">
                  <c:v>44795</c:v>
                </c:pt>
                <c:pt idx="71">
                  <c:v>44802</c:v>
                </c:pt>
                <c:pt idx="72">
                  <c:v>44809</c:v>
                </c:pt>
                <c:pt idx="73">
                  <c:v>44816</c:v>
                </c:pt>
                <c:pt idx="74">
                  <c:v>44823</c:v>
                </c:pt>
                <c:pt idx="75">
                  <c:v>44830</c:v>
                </c:pt>
                <c:pt idx="76">
                  <c:v>44837</c:v>
                </c:pt>
                <c:pt idx="77">
                  <c:v>44844</c:v>
                </c:pt>
                <c:pt idx="78">
                  <c:v>44851</c:v>
                </c:pt>
                <c:pt idx="79">
                  <c:v>44858</c:v>
                </c:pt>
                <c:pt idx="80">
                  <c:v>44865</c:v>
                </c:pt>
                <c:pt idx="81">
                  <c:v>44872</c:v>
                </c:pt>
                <c:pt idx="82">
                  <c:v>44879</c:v>
                </c:pt>
                <c:pt idx="83">
                  <c:v>44886</c:v>
                </c:pt>
                <c:pt idx="84">
                  <c:v>44893</c:v>
                </c:pt>
                <c:pt idx="85">
                  <c:v>44900</c:v>
                </c:pt>
                <c:pt idx="86">
                  <c:v>44907</c:v>
                </c:pt>
                <c:pt idx="87">
                  <c:v>44914</c:v>
                </c:pt>
                <c:pt idx="88">
                  <c:v>44921</c:v>
                </c:pt>
                <c:pt idx="89">
                  <c:v>44928</c:v>
                </c:pt>
                <c:pt idx="90">
                  <c:v>44935</c:v>
                </c:pt>
                <c:pt idx="91">
                  <c:v>44942</c:v>
                </c:pt>
                <c:pt idx="92">
                  <c:v>44949</c:v>
                </c:pt>
                <c:pt idx="93">
                  <c:v>44956</c:v>
                </c:pt>
                <c:pt idx="94">
                  <c:v>44963</c:v>
                </c:pt>
                <c:pt idx="95">
                  <c:v>44970</c:v>
                </c:pt>
                <c:pt idx="96">
                  <c:v>44977</c:v>
                </c:pt>
                <c:pt idx="97">
                  <c:v>44984</c:v>
                </c:pt>
                <c:pt idx="98">
                  <c:v>44991</c:v>
                </c:pt>
                <c:pt idx="99">
                  <c:v>44998</c:v>
                </c:pt>
                <c:pt idx="100">
                  <c:v>45005</c:v>
                </c:pt>
                <c:pt idx="101">
                  <c:v>45012</c:v>
                </c:pt>
                <c:pt idx="102">
                  <c:v>45019</c:v>
                </c:pt>
                <c:pt idx="103">
                  <c:v>45026</c:v>
                </c:pt>
                <c:pt idx="104">
                  <c:v>45033</c:v>
                </c:pt>
                <c:pt idx="105">
                  <c:v>45040</c:v>
                </c:pt>
                <c:pt idx="106">
                  <c:v>45047</c:v>
                </c:pt>
                <c:pt idx="107">
                  <c:v>45054</c:v>
                </c:pt>
                <c:pt idx="108">
                  <c:v>45061</c:v>
                </c:pt>
                <c:pt idx="109">
                  <c:v>45068</c:v>
                </c:pt>
                <c:pt idx="110">
                  <c:v>45075</c:v>
                </c:pt>
                <c:pt idx="111">
                  <c:v>45082</c:v>
                </c:pt>
                <c:pt idx="112">
                  <c:v>45089</c:v>
                </c:pt>
                <c:pt idx="113">
                  <c:v>45096</c:v>
                </c:pt>
                <c:pt idx="114">
                  <c:v>45103</c:v>
                </c:pt>
                <c:pt idx="115">
                  <c:v>45110</c:v>
                </c:pt>
                <c:pt idx="116">
                  <c:v>45117</c:v>
                </c:pt>
                <c:pt idx="117">
                  <c:v>45124</c:v>
                </c:pt>
                <c:pt idx="118">
                  <c:v>45131</c:v>
                </c:pt>
                <c:pt idx="119">
                  <c:v>45138</c:v>
                </c:pt>
                <c:pt idx="120">
                  <c:v>45145</c:v>
                </c:pt>
                <c:pt idx="121">
                  <c:v>45152</c:v>
                </c:pt>
                <c:pt idx="122">
                  <c:v>45159</c:v>
                </c:pt>
                <c:pt idx="123">
                  <c:v>45166</c:v>
                </c:pt>
                <c:pt idx="124">
                  <c:v>45173</c:v>
                </c:pt>
                <c:pt idx="125">
                  <c:v>45180</c:v>
                </c:pt>
                <c:pt idx="126">
                  <c:v>45187</c:v>
                </c:pt>
                <c:pt idx="127">
                  <c:v>45194</c:v>
                </c:pt>
                <c:pt idx="128">
                  <c:v>45201</c:v>
                </c:pt>
                <c:pt idx="129">
                  <c:v>45208</c:v>
                </c:pt>
                <c:pt idx="130">
                  <c:v>45215</c:v>
                </c:pt>
                <c:pt idx="131">
                  <c:v>45222</c:v>
                </c:pt>
                <c:pt idx="132">
                  <c:v>45229</c:v>
                </c:pt>
                <c:pt idx="133">
                  <c:v>45236</c:v>
                </c:pt>
                <c:pt idx="134">
                  <c:v>45243</c:v>
                </c:pt>
                <c:pt idx="135">
                  <c:v>45250</c:v>
                </c:pt>
                <c:pt idx="136">
                  <c:v>45257</c:v>
                </c:pt>
                <c:pt idx="137">
                  <c:v>45264</c:v>
                </c:pt>
                <c:pt idx="138">
                  <c:v>45271</c:v>
                </c:pt>
                <c:pt idx="139">
                  <c:v>45278</c:v>
                </c:pt>
                <c:pt idx="140">
                  <c:v>45285</c:v>
                </c:pt>
                <c:pt idx="141">
                  <c:v>45292</c:v>
                </c:pt>
                <c:pt idx="142">
                  <c:v>45299</c:v>
                </c:pt>
                <c:pt idx="143">
                  <c:v>45306</c:v>
                </c:pt>
                <c:pt idx="144">
                  <c:v>45313</c:v>
                </c:pt>
                <c:pt idx="145">
                  <c:v>45320</c:v>
                </c:pt>
                <c:pt idx="146">
                  <c:v>45327</c:v>
                </c:pt>
                <c:pt idx="147">
                  <c:v>45334</c:v>
                </c:pt>
                <c:pt idx="148">
                  <c:v>45341</c:v>
                </c:pt>
                <c:pt idx="149">
                  <c:v>45348</c:v>
                </c:pt>
                <c:pt idx="150">
                  <c:v>45355</c:v>
                </c:pt>
                <c:pt idx="151">
                  <c:v>45362</c:v>
                </c:pt>
                <c:pt idx="152">
                  <c:v>45369</c:v>
                </c:pt>
                <c:pt idx="153">
                  <c:v>45376</c:v>
                </c:pt>
                <c:pt idx="154">
                  <c:v>45383</c:v>
                </c:pt>
                <c:pt idx="155">
                  <c:v>45390</c:v>
                </c:pt>
                <c:pt idx="156">
                  <c:v>45397</c:v>
                </c:pt>
                <c:pt idx="157">
                  <c:v>45404</c:v>
                </c:pt>
                <c:pt idx="158">
                  <c:v>45411</c:v>
                </c:pt>
                <c:pt idx="159">
                  <c:v>45418</c:v>
                </c:pt>
                <c:pt idx="160">
                  <c:v>45425</c:v>
                </c:pt>
                <c:pt idx="161">
                  <c:v>45432</c:v>
                </c:pt>
                <c:pt idx="162">
                  <c:v>45439</c:v>
                </c:pt>
                <c:pt idx="163">
                  <c:v>45446</c:v>
                </c:pt>
                <c:pt idx="164">
                  <c:v>45453</c:v>
                </c:pt>
                <c:pt idx="165">
                  <c:v>45460</c:v>
                </c:pt>
                <c:pt idx="166">
                  <c:v>45467</c:v>
                </c:pt>
                <c:pt idx="167">
                  <c:v>45474</c:v>
                </c:pt>
                <c:pt idx="168">
                  <c:v>45481</c:v>
                </c:pt>
                <c:pt idx="169">
                  <c:v>45488</c:v>
                </c:pt>
                <c:pt idx="170">
                  <c:v>45495</c:v>
                </c:pt>
                <c:pt idx="171">
                  <c:v>45502</c:v>
                </c:pt>
                <c:pt idx="172">
                  <c:v>45509</c:v>
                </c:pt>
                <c:pt idx="173">
                  <c:v>45516</c:v>
                </c:pt>
                <c:pt idx="174">
                  <c:v>45523</c:v>
                </c:pt>
                <c:pt idx="175">
                  <c:v>45530</c:v>
                </c:pt>
                <c:pt idx="176">
                  <c:v>45537</c:v>
                </c:pt>
                <c:pt idx="177">
                  <c:v>45544</c:v>
                </c:pt>
                <c:pt idx="178">
                  <c:v>45551</c:v>
                </c:pt>
                <c:pt idx="179">
                  <c:v>45558</c:v>
                </c:pt>
                <c:pt idx="180">
                  <c:v>45565</c:v>
                </c:pt>
                <c:pt idx="181">
                  <c:v>45572</c:v>
                </c:pt>
                <c:pt idx="182">
                  <c:v>45579</c:v>
                </c:pt>
                <c:pt idx="183">
                  <c:v>45586</c:v>
                </c:pt>
                <c:pt idx="184">
                  <c:v>45593</c:v>
                </c:pt>
                <c:pt idx="185">
                  <c:v>45600</c:v>
                </c:pt>
                <c:pt idx="186">
                  <c:v>45607</c:v>
                </c:pt>
                <c:pt idx="187">
                  <c:v>45614</c:v>
                </c:pt>
                <c:pt idx="188">
                  <c:v>45621</c:v>
                </c:pt>
                <c:pt idx="189">
                  <c:v>45628</c:v>
                </c:pt>
                <c:pt idx="190">
                  <c:v>45635</c:v>
                </c:pt>
                <c:pt idx="191">
                  <c:v>45642</c:v>
                </c:pt>
                <c:pt idx="192">
                  <c:v>45649</c:v>
                </c:pt>
                <c:pt idx="193">
                  <c:v>45656</c:v>
                </c:pt>
                <c:pt idx="194">
                  <c:v>45663</c:v>
                </c:pt>
                <c:pt idx="195">
                  <c:v>45670</c:v>
                </c:pt>
                <c:pt idx="196">
                  <c:v>45677</c:v>
                </c:pt>
                <c:pt idx="197">
                  <c:v>45684</c:v>
                </c:pt>
                <c:pt idx="198">
                  <c:v>45691</c:v>
                </c:pt>
                <c:pt idx="199">
                  <c:v>45698</c:v>
                </c:pt>
                <c:pt idx="200">
                  <c:v>45705</c:v>
                </c:pt>
                <c:pt idx="201">
                  <c:v>45712</c:v>
                </c:pt>
                <c:pt idx="202">
                  <c:v>45719</c:v>
                </c:pt>
                <c:pt idx="203">
                  <c:v>45726</c:v>
                </c:pt>
                <c:pt idx="204">
                  <c:v>45733</c:v>
                </c:pt>
                <c:pt idx="205">
                  <c:v>45740</c:v>
                </c:pt>
                <c:pt idx="206">
                  <c:v>45747</c:v>
                </c:pt>
                <c:pt idx="207">
                  <c:v>45754</c:v>
                </c:pt>
                <c:pt idx="208">
                  <c:v>45761</c:v>
                </c:pt>
                <c:pt idx="209">
                  <c:v>45768</c:v>
                </c:pt>
                <c:pt idx="210">
                  <c:v>45775</c:v>
                </c:pt>
                <c:pt idx="211">
                  <c:v>45782</c:v>
                </c:pt>
                <c:pt idx="212">
                  <c:v>45789</c:v>
                </c:pt>
                <c:pt idx="213">
                  <c:v>45796</c:v>
                </c:pt>
                <c:pt idx="214">
                  <c:v>45803</c:v>
                </c:pt>
                <c:pt idx="215">
                  <c:v>45810</c:v>
                </c:pt>
                <c:pt idx="216">
                  <c:v>45817</c:v>
                </c:pt>
                <c:pt idx="217">
                  <c:v>45824</c:v>
                </c:pt>
                <c:pt idx="218">
                  <c:v>45831</c:v>
                </c:pt>
                <c:pt idx="219">
                  <c:v>45838</c:v>
                </c:pt>
                <c:pt idx="220">
                  <c:v>45845</c:v>
                </c:pt>
                <c:pt idx="221">
                  <c:v>45852</c:v>
                </c:pt>
                <c:pt idx="222">
                  <c:v>45859</c:v>
                </c:pt>
                <c:pt idx="223">
                  <c:v>45866</c:v>
                </c:pt>
                <c:pt idx="224">
                  <c:v>45873</c:v>
                </c:pt>
                <c:pt idx="225">
                  <c:v>45880</c:v>
                </c:pt>
                <c:pt idx="226">
                  <c:v>45887</c:v>
                </c:pt>
                <c:pt idx="227">
                  <c:v>45894</c:v>
                </c:pt>
                <c:pt idx="228">
                  <c:v>45901</c:v>
                </c:pt>
                <c:pt idx="229">
                  <c:v>45908</c:v>
                </c:pt>
                <c:pt idx="230">
                  <c:v>45915</c:v>
                </c:pt>
                <c:pt idx="231">
                  <c:v>45922</c:v>
                </c:pt>
                <c:pt idx="232">
                  <c:v>45929</c:v>
                </c:pt>
                <c:pt idx="233">
                  <c:v>45936</c:v>
                </c:pt>
                <c:pt idx="234">
                  <c:v>45943</c:v>
                </c:pt>
                <c:pt idx="235">
                  <c:v>45950</c:v>
                </c:pt>
                <c:pt idx="236">
                  <c:v>45957</c:v>
                </c:pt>
                <c:pt idx="237">
                  <c:v>45964</c:v>
                </c:pt>
                <c:pt idx="238">
                  <c:v>45971</c:v>
                </c:pt>
                <c:pt idx="239">
                  <c:v>45978</c:v>
                </c:pt>
                <c:pt idx="240">
                  <c:v>45985</c:v>
                </c:pt>
                <c:pt idx="241">
                  <c:v>45992</c:v>
                </c:pt>
                <c:pt idx="242">
                  <c:v>45999</c:v>
                </c:pt>
                <c:pt idx="243">
                  <c:v>46006</c:v>
                </c:pt>
                <c:pt idx="244">
                  <c:v>46013</c:v>
                </c:pt>
                <c:pt idx="245">
                  <c:v>46020</c:v>
                </c:pt>
                <c:pt idx="246">
                  <c:v>46027</c:v>
                </c:pt>
                <c:pt idx="247">
                  <c:v>46034</c:v>
                </c:pt>
                <c:pt idx="248">
                  <c:v>46041</c:v>
                </c:pt>
                <c:pt idx="249">
                  <c:v>46048</c:v>
                </c:pt>
                <c:pt idx="250">
                  <c:v>46055</c:v>
                </c:pt>
                <c:pt idx="251">
                  <c:v>46062</c:v>
                </c:pt>
                <c:pt idx="252">
                  <c:v>46069</c:v>
                </c:pt>
                <c:pt idx="253">
                  <c:v>46076</c:v>
                </c:pt>
                <c:pt idx="254">
                  <c:v>46083</c:v>
                </c:pt>
                <c:pt idx="255">
                  <c:v>46090</c:v>
                </c:pt>
                <c:pt idx="256">
                  <c:v>46097</c:v>
                </c:pt>
                <c:pt idx="257">
                  <c:v>46104</c:v>
                </c:pt>
                <c:pt idx="258">
                  <c:v>46111</c:v>
                </c:pt>
                <c:pt idx="259">
                  <c:v>46118</c:v>
                </c:pt>
                <c:pt idx="260">
                  <c:v>46125</c:v>
                </c:pt>
                <c:pt idx="261">
                  <c:v>46129</c:v>
                </c:pt>
              </c:numCache>
            </c:numRef>
          </c:cat>
          <c:val>
            <c:numRef>
              <c:f>'Share Price'!$D$3:$D$264</c:f>
              <c:numCache>
                <c:formatCode>#,##0</c:formatCode>
                <c:ptCount val="262"/>
                <c:pt idx="0">
                  <c:v>83.000342000000003</c:v>
                </c:pt>
                <c:pt idx="1">
                  <c:v>76.467228000000006</c:v>
                </c:pt>
                <c:pt idx="2">
                  <c:v>89.850009999999997</c:v>
                </c:pt>
                <c:pt idx="3">
                  <c:v>112.39581099999999</c:v>
                </c:pt>
                <c:pt idx="4">
                  <c:v>141.66260600000001</c:v>
                </c:pt>
                <c:pt idx="5">
                  <c:v>150.51021399999999</c:v>
                </c:pt>
                <c:pt idx="6">
                  <c:v>296.21835700000003</c:v>
                </c:pt>
                <c:pt idx="7">
                  <c:v>134.72259399999999</c:v>
                </c:pt>
                <c:pt idx="8">
                  <c:v>101.44285000000001</c:v>
                </c:pt>
                <c:pt idx="9">
                  <c:v>89.317359999999994</c:v>
                </c:pt>
                <c:pt idx="10">
                  <c:v>69.357819000000006</c:v>
                </c:pt>
                <c:pt idx="11">
                  <c:v>74.747388999999998</c:v>
                </c:pt>
                <c:pt idx="12">
                  <c:v>106.206874</c:v>
                </c:pt>
                <c:pt idx="13">
                  <c:v>106.925404</c:v>
                </c:pt>
                <c:pt idx="14">
                  <c:v>121.48694</c:v>
                </c:pt>
                <c:pt idx="15">
                  <c:v>114.133633</c:v>
                </c:pt>
                <c:pt idx="16">
                  <c:v>104.345478</c:v>
                </c:pt>
                <c:pt idx="17">
                  <c:v>51.100262000000001</c:v>
                </c:pt>
                <c:pt idx="18">
                  <c:v>60.572212999999998</c:v>
                </c:pt>
                <c:pt idx="19">
                  <c:v>81.715653000000003</c:v>
                </c:pt>
                <c:pt idx="20">
                  <c:v>87.657003000000003</c:v>
                </c:pt>
                <c:pt idx="21">
                  <c:v>295.618133</c:v>
                </c:pt>
                <c:pt idx="22">
                  <c:v>235.01450399999999</c:v>
                </c:pt>
                <c:pt idx="23">
                  <c:v>89.694888000000006</c:v>
                </c:pt>
                <c:pt idx="24">
                  <c:v>59.741584000000003</c:v>
                </c:pt>
                <c:pt idx="25">
                  <c:v>193.135358</c:v>
                </c:pt>
                <c:pt idx="26">
                  <c:v>233.907095</c:v>
                </c:pt>
                <c:pt idx="27">
                  <c:v>145.49999</c:v>
                </c:pt>
                <c:pt idx="28">
                  <c:v>64.813096999999999</c:v>
                </c:pt>
                <c:pt idx="29">
                  <c:v>67.724521999999993</c:v>
                </c:pt>
                <c:pt idx="30">
                  <c:v>124.990364</c:v>
                </c:pt>
                <c:pt idx="31">
                  <c:v>104.9722</c:v>
                </c:pt>
                <c:pt idx="32">
                  <c:v>91.733615</c:v>
                </c:pt>
                <c:pt idx="33">
                  <c:v>109.364552</c:v>
                </c:pt>
                <c:pt idx="34">
                  <c:v>153.80275</c:v>
                </c:pt>
                <c:pt idx="35">
                  <c:v>117.11018199999999</c:v>
                </c:pt>
                <c:pt idx="36">
                  <c:v>50.396827000000002</c:v>
                </c:pt>
                <c:pt idx="37">
                  <c:v>47.617860999999998</c:v>
                </c:pt>
                <c:pt idx="38">
                  <c:v>61.367497</c:v>
                </c:pt>
                <c:pt idx="39">
                  <c:v>74.879242000000005</c:v>
                </c:pt>
                <c:pt idx="40">
                  <c:v>76.958538000000004</c:v>
                </c:pt>
                <c:pt idx="41">
                  <c:v>191.01227399999999</c:v>
                </c:pt>
                <c:pt idx="42">
                  <c:v>93.38964</c:v>
                </c:pt>
                <c:pt idx="43">
                  <c:v>72.225701000000001</c:v>
                </c:pt>
                <c:pt idx="44">
                  <c:v>122.40725999999999</c:v>
                </c:pt>
                <c:pt idx="45">
                  <c:v>139.88669200000001</c:v>
                </c:pt>
                <c:pt idx="46">
                  <c:v>209.17867799999999</c:v>
                </c:pt>
                <c:pt idx="47">
                  <c:v>128.739473</c:v>
                </c:pt>
                <c:pt idx="48">
                  <c:v>179.59654699999999</c:v>
                </c:pt>
                <c:pt idx="49">
                  <c:v>104.480064</c:v>
                </c:pt>
                <c:pt idx="50">
                  <c:v>121.066073</c:v>
                </c:pt>
                <c:pt idx="51">
                  <c:v>94.624939999999995</c:v>
                </c:pt>
                <c:pt idx="52">
                  <c:v>115.66308100000001</c:v>
                </c:pt>
                <c:pt idx="53">
                  <c:v>113.89420699999999</c:v>
                </c:pt>
                <c:pt idx="54">
                  <c:v>101.08972300000001</c:v>
                </c:pt>
                <c:pt idx="55">
                  <c:v>92.165349000000006</c:v>
                </c:pt>
                <c:pt idx="56">
                  <c:v>162.88416599999999</c:v>
                </c:pt>
                <c:pt idx="57">
                  <c:v>87.676463999999996</c:v>
                </c:pt>
                <c:pt idx="58">
                  <c:v>79.400647000000006</c:v>
                </c:pt>
                <c:pt idx="59">
                  <c:v>56.440005999999997</c:v>
                </c:pt>
                <c:pt idx="60">
                  <c:v>56.622191000000001</c:v>
                </c:pt>
                <c:pt idx="61">
                  <c:v>60.613298999999998</c:v>
                </c:pt>
                <c:pt idx="62">
                  <c:v>93.320035000000004</c:v>
                </c:pt>
                <c:pt idx="63">
                  <c:v>105.56352</c:v>
                </c:pt>
                <c:pt idx="64">
                  <c:v>62.460991999999997</c:v>
                </c:pt>
                <c:pt idx="65">
                  <c:v>64.703470999999993</c:v>
                </c:pt>
                <c:pt idx="66">
                  <c:v>59.712276000000003</c:v>
                </c:pt>
                <c:pt idx="67">
                  <c:v>102.35374299999999</c:v>
                </c:pt>
                <c:pt idx="68">
                  <c:v>35.869408</c:v>
                </c:pt>
                <c:pt idx="69">
                  <c:v>38.312801</c:v>
                </c:pt>
                <c:pt idx="70">
                  <c:v>48.558070000000001</c:v>
                </c:pt>
                <c:pt idx="71">
                  <c:v>70.831436999999994</c:v>
                </c:pt>
                <c:pt idx="72">
                  <c:v>60.075595</c:v>
                </c:pt>
                <c:pt idx="73">
                  <c:v>54.429963000000001</c:v>
                </c:pt>
                <c:pt idx="74">
                  <c:v>95.441835999999995</c:v>
                </c:pt>
                <c:pt idx="75">
                  <c:v>75.249619999999993</c:v>
                </c:pt>
                <c:pt idx="76">
                  <c:v>52.606616000000002</c:v>
                </c:pt>
                <c:pt idx="77">
                  <c:v>45.723787999999999</c:v>
                </c:pt>
                <c:pt idx="78">
                  <c:v>93.424030999999999</c:v>
                </c:pt>
                <c:pt idx="79">
                  <c:v>54.044773999999997</c:v>
                </c:pt>
                <c:pt idx="80">
                  <c:v>72.068314000000001</c:v>
                </c:pt>
                <c:pt idx="81">
                  <c:v>63.286881999999999</c:v>
                </c:pt>
                <c:pt idx="82">
                  <c:v>60.782908999999997</c:v>
                </c:pt>
                <c:pt idx="83">
                  <c:v>40.021239000000001</c:v>
                </c:pt>
                <c:pt idx="84">
                  <c:v>70.274456999999998</c:v>
                </c:pt>
                <c:pt idx="85">
                  <c:v>41.737527</c:v>
                </c:pt>
                <c:pt idx="86">
                  <c:v>51.792901000000001</c:v>
                </c:pt>
                <c:pt idx="87">
                  <c:v>38.423470999999999</c:v>
                </c:pt>
                <c:pt idx="88">
                  <c:v>40.602468000000002</c:v>
                </c:pt>
                <c:pt idx="89">
                  <c:v>36.445869000000002</c:v>
                </c:pt>
                <c:pt idx="90">
                  <c:v>44.867682000000002</c:v>
                </c:pt>
                <c:pt idx="91">
                  <c:v>58.12744</c:v>
                </c:pt>
                <c:pt idx="92">
                  <c:v>55.005214000000002</c:v>
                </c:pt>
                <c:pt idx="93">
                  <c:v>180.47825700000001</c:v>
                </c:pt>
                <c:pt idx="94">
                  <c:v>82.036413999999994</c:v>
                </c:pt>
                <c:pt idx="95">
                  <c:v>71.328148999999996</c:v>
                </c:pt>
                <c:pt idx="96">
                  <c:v>58.952682000000003</c:v>
                </c:pt>
                <c:pt idx="97">
                  <c:v>47.228219000000003</c:v>
                </c:pt>
                <c:pt idx="98">
                  <c:v>39.077773999999998</c:v>
                </c:pt>
                <c:pt idx="99">
                  <c:v>95.605169000000004</c:v>
                </c:pt>
                <c:pt idx="100">
                  <c:v>47.973787000000002</c:v>
                </c:pt>
                <c:pt idx="101">
                  <c:v>41.185760000000002</c:v>
                </c:pt>
                <c:pt idx="102">
                  <c:v>32.780963</c:v>
                </c:pt>
                <c:pt idx="103">
                  <c:v>42.399411999999998</c:v>
                </c:pt>
                <c:pt idx="104">
                  <c:v>53.171937999999997</c:v>
                </c:pt>
                <c:pt idx="105">
                  <c:v>49.615637</c:v>
                </c:pt>
                <c:pt idx="106">
                  <c:v>39.438941</c:v>
                </c:pt>
                <c:pt idx="107">
                  <c:v>56.193313000000003</c:v>
                </c:pt>
                <c:pt idx="108">
                  <c:v>79.329593000000003</c:v>
                </c:pt>
                <c:pt idx="109">
                  <c:v>69.408145000000005</c:v>
                </c:pt>
                <c:pt idx="110">
                  <c:v>73.740160000000003</c:v>
                </c:pt>
                <c:pt idx="111">
                  <c:v>36.589264999999997</c:v>
                </c:pt>
                <c:pt idx="112">
                  <c:v>54.795706000000003</c:v>
                </c:pt>
                <c:pt idx="113">
                  <c:v>28.505935000000001</c:v>
                </c:pt>
                <c:pt idx="114">
                  <c:v>32.746142999999996</c:v>
                </c:pt>
                <c:pt idx="115">
                  <c:v>53.454050000000002</c:v>
                </c:pt>
                <c:pt idx="116">
                  <c:v>41.863430999999999</c:v>
                </c:pt>
                <c:pt idx="117">
                  <c:v>61.825305999999998</c:v>
                </c:pt>
                <c:pt idx="118">
                  <c:v>129.42223200000001</c:v>
                </c:pt>
                <c:pt idx="119">
                  <c:v>44.036622000000001</c:v>
                </c:pt>
                <c:pt idx="120">
                  <c:v>52.017513000000001</c:v>
                </c:pt>
                <c:pt idx="121">
                  <c:v>60.313625000000002</c:v>
                </c:pt>
                <c:pt idx="122">
                  <c:v>44.896241000000003</c:v>
                </c:pt>
                <c:pt idx="123">
                  <c:v>57.216468999999996</c:v>
                </c:pt>
                <c:pt idx="124">
                  <c:v>54.912877000000002</c:v>
                </c:pt>
                <c:pt idx="125">
                  <c:v>67.553455</c:v>
                </c:pt>
                <c:pt idx="126">
                  <c:v>37.784063000000003</c:v>
                </c:pt>
                <c:pt idx="127">
                  <c:v>41.518051999999997</c:v>
                </c:pt>
                <c:pt idx="128">
                  <c:v>40.842044000000001</c:v>
                </c:pt>
                <c:pt idx="129">
                  <c:v>39.135731</c:v>
                </c:pt>
                <c:pt idx="130">
                  <c:v>42.092962</c:v>
                </c:pt>
                <c:pt idx="131">
                  <c:v>52.027830999999999</c:v>
                </c:pt>
                <c:pt idx="132">
                  <c:v>47.961708999999999</c:v>
                </c:pt>
                <c:pt idx="133">
                  <c:v>32.481633000000002</c:v>
                </c:pt>
                <c:pt idx="134">
                  <c:v>29.799424999999999</c:v>
                </c:pt>
                <c:pt idx="135">
                  <c:v>29.502457</c:v>
                </c:pt>
                <c:pt idx="136">
                  <c:v>59.190325000000001</c:v>
                </c:pt>
                <c:pt idx="137">
                  <c:v>78.234177000000003</c:v>
                </c:pt>
                <c:pt idx="138">
                  <c:v>60.444142999999997</c:v>
                </c:pt>
                <c:pt idx="139">
                  <c:v>56.957223999999997</c:v>
                </c:pt>
                <c:pt idx="140">
                  <c:v>48.809123</c:v>
                </c:pt>
                <c:pt idx="141">
                  <c:v>67.397853999999995</c:v>
                </c:pt>
                <c:pt idx="142">
                  <c:v>36.851819999999996</c:v>
                </c:pt>
                <c:pt idx="143">
                  <c:v>53.404809</c:v>
                </c:pt>
                <c:pt idx="144">
                  <c:v>51.622815000000003</c:v>
                </c:pt>
                <c:pt idx="145">
                  <c:v>122.116636</c:v>
                </c:pt>
                <c:pt idx="146">
                  <c:v>128.93651600000001</c:v>
                </c:pt>
                <c:pt idx="147">
                  <c:v>100.28559</c:v>
                </c:pt>
                <c:pt idx="148">
                  <c:v>83.289736000000005</c:v>
                </c:pt>
                <c:pt idx="149">
                  <c:v>53.664566999999998</c:v>
                </c:pt>
                <c:pt idx="150">
                  <c:v>52.653914999999998</c:v>
                </c:pt>
                <c:pt idx="151">
                  <c:v>268.07512800000001</c:v>
                </c:pt>
                <c:pt idx="152">
                  <c:v>119.04203</c:v>
                </c:pt>
                <c:pt idx="153">
                  <c:v>52.377299000000001</c:v>
                </c:pt>
                <c:pt idx="154">
                  <c:v>67.924924000000004</c:v>
                </c:pt>
                <c:pt idx="155">
                  <c:v>49.144533000000003</c:v>
                </c:pt>
                <c:pt idx="156">
                  <c:v>58.795310000000001</c:v>
                </c:pt>
                <c:pt idx="157">
                  <c:v>71.620720000000006</c:v>
                </c:pt>
                <c:pt idx="158">
                  <c:v>72.514281999999994</c:v>
                </c:pt>
                <c:pt idx="159">
                  <c:v>87.478305000000006</c:v>
                </c:pt>
                <c:pt idx="160">
                  <c:v>63.412534000000001</c:v>
                </c:pt>
                <c:pt idx="161">
                  <c:v>62.709719</c:v>
                </c:pt>
                <c:pt idx="162">
                  <c:v>83.398968999999994</c:v>
                </c:pt>
                <c:pt idx="163">
                  <c:v>153.96803499999999</c:v>
                </c:pt>
                <c:pt idx="164">
                  <c:v>54.997075000000002</c:v>
                </c:pt>
                <c:pt idx="165">
                  <c:v>67.295033000000004</c:v>
                </c:pt>
                <c:pt idx="166">
                  <c:v>88.882795999999999</c:v>
                </c:pt>
                <c:pt idx="167">
                  <c:v>54.911127999999998</c:v>
                </c:pt>
                <c:pt idx="168">
                  <c:v>100.116517</c:v>
                </c:pt>
                <c:pt idx="169">
                  <c:v>78.220643999999993</c:v>
                </c:pt>
                <c:pt idx="170">
                  <c:v>158.684181</c:v>
                </c:pt>
                <c:pt idx="171">
                  <c:v>73.107791000000006</c:v>
                </c:pt>
                <c:pt idx="172">
                  <c:v>81.499908000000005</c:v>
                </c:pt>
                <c:pt idx="173">
                  <c:v>40.735455000000002</c:v>
                </c:pt>
                <c:pt idx="174">
                  <c:v>43.163155000000003</c:v>
                </c:pt>
                <c:pt idx="175">
                  <c:v>59.381827000000001</c:v>
                </c:pt>
                <c:pt idx="176">
                  <c:v>63.281531000000001</c:v>
                </c:pt>
                <c:pt idx="177">
                  <c:v>69.345264</c:v>
                </c:pt>
                <c:pt idx="178">
                  <c:v>63.536993000000002</c:v>
                </c:pt>
                <c:pt idx="179">
                  <c:v>57.926605000000002</c:v>
                </c:pt>
                <c:pt idx="180">
                  <c:v>51.634574000000001</c:v>
                </c:pt>
                <c:pt idx="181">
                  <c:v>80.099380999999994</c:v>
                </c:pt>
                <c:pt idx="182">
                  <c:v>52.543818999999999</c:v>
                </c:pt>
                <c:pt idx="183">
                  <c:v>76.757694999999998</c:v>
                </c:pt>
                <c:pt idx="184">
                  <c:v>32.347040999999997</c:v>
                </c:pt>
                <c:pt idx="185">
                  <c:v>43.707154000000003</c:v>
                </c:pt>
                <c:pt idx="186">
                  <c:v>34.572933999999997</c:v>
                </c:pt>
                <c:pt idx="187">
                  <c:v>56.097405999999999</c:v>
                </c:pt>
                <c:pt idx="188">
                  <c:v>52.193663000000001</c:v>
                </c:pt>
                <c:pt idx="189">
                  <c:v>77.995223999999993</c:v>
                </c:pt>
                <c:pt idx="190">
                  <c:v>74.680779999999999</c:v>
                </c:pt>
                <c:pt idx="191">
                  <c:v>78.197056000000003</c:v>
                </c:pt>
                <c:pt idx="192">
                  <c:v>57.668086000000002</c:v>
                </c:pt>
                <c:pt idx="193">
                  <c:v>111.928962</c:v>
                </c:pt>
                <c:pt idx="194">
                  <c:v>78.666042000000004</c:v>
                </c:pt>
                <c:pt idx="195">
                  <c:v>72.679001999999997</c:v>
                </c:pt>
                <c:pt idx="196">
                  <c:v>52.602550999999998</c:v>
                </c:pt>
                <c:pt idx="197">
                  <c:v>112.88766800000001</c:v>
                </c:pt>
                <c:pt idx="198">
                  <c:v>85.096805000000003</c:v>
                </c:pt>
                <c:pt idx="199">
                  <c:v>67.513729999999995</c:v>
                </c:pt>
                <c:pt idx="200">
                  <c:v>55.649270999999999</c:v>
                </c:pt>
                <c:pt idx="201">
                  <c:v>73.804294999999996</c:v>
                </c:pt>
                <c:pt idx="202">
                  <c:v>68.823374999999999</c:v>
                </c:pt>
                <c:pt idx="203">
                  <c:v>42.925367999999999</c:v>
                </c:pt>
                <c:pt idx="204">
                  <c:v>74.246161000000001</c:v>
                </c:pt>
                <c:pt idx="205">
                  <c:v>80.216318999999999</c:v>
                </c:pt>
                <c:pt idx="206">
                  <c:v>48.894720999999997</c:v>
                </c:pt>
                <c:pt idx="207">
                  <c:v>76.088589999999996</c:v>
                </c:pt>
                <c:pt idx="208">
                  <c:v>47.130690999999999</c:v>
                </c:pt>
                <c:pt idx="209">
                  <c:v>127.994955</c:v>
                </c:pt>
                <c:pt idx="210">
                  <c:v>36.766942999999998</c:v>
                </c:pt>
                <c:pt idx="211">
                  <c:v>64.426705999999996</c:v>
                </c:pt>
                <c:pt idx="212">
                  <c:v>73.231114000000005</c:v>
                </c:pt>
                <c:pt idx="213">
                  <c:v>61.177573000000002</c:v>
                </c:pt>
                <c:pt idx="214">
                  <c:v>524.08009200000004</c:v>
                </c:pt>
                <c:pt idx="215">
                  <c:v>62.776310000000002</c:v>
                </c:pt>
                <c:pt idx="216">
                  <c:v>80.686141000000006</c:v>
                </c:pt>
                <c:pt idx="217">
                  <c:v>49.875439999999998</c:v>
                </c:pt>
                <c:pt idx="218">
                  <c:v>76.590529000000004</c:v>
                </c:pt>
                <c:pt idx="219">
                  <c:v>64.420518999999999</c:v>
                </c:pt>
                <c:pt idx="220">
                  <c:v>38.382147000000003</c:v>
                </c:pt>
                <c:pt idx="221">
                  <c:v>39.181567999999999</c:v>
                </c:pt>
                <c:pt idx="222">
                  <c:v>41.717283000000002</c:v>
                </c:pt>
                <c:pt idx="223">
                  <c:v>59.539211000000002</c:v>
                </c:pt>
                <c:pt idx="224">
                  <c:v>57.257344000000003</c:v>
                </c:pt>
                <c:pt idx="225">
                  <c:v>57.257344000000003</c:v>
                </c:pt>
                <c:pt idx="226">
                  <c:v>93.936864</c:v>
                </c:pt>
                <c:pt idx="227">
                  <c:v>61.882807</c:v>
                </c:pt>
                <c:pt idx="228">
                  <c:v>88.287730999999994</c:v>
                </c:pt>
                <c:pt idx="229">
                  <c:v>41.575099999999999</c:v>
                </c:pt>
                <c:pt idx="230">
                  <c:v>63.213428999999998</c:v>
                </c:pt>
                <c:pt idx="231">
                  <c:v>72.268412999999995</c:v>
                </c:pt>
                <c:pt idx="232">
                  <c:v>63.813330000000001</c:v>
                </c:pt>
                <c:pt idx="233">
                  <c:v>65.432513</c:v>
                </c:pt>
                <c:pt idx="234">
                  <c:v>79.876956000000007</c:v>
                </c:pt>
                <c:pt idx="235">
                  <c:v>53.467419</c:v>
                </c:pt>
                <c:pt idx="236">
                  <c:v>71.776025000000004</c:v>
                </c:pt>
                <c:pt idx="237">
                  <c:v>36.228017999999999</c:v>
                </c:pt>
                <c:pt idx="238">
                  <c:v>97.28</c:v>
                </c:pt>
                <c:pt idx="239">
                  <c:v>35.901071000000002</c:v>
                </c:pt>
                <c:pt idx="240">
                  <c:v>46.244258000000002</c:v>
                </c:pt>
                <c:pt idx="241">
                  <c:v>44.786394000000001</c:v>
                </c:pt>
                <c:pt idx="242">
                  <c:v>41.840392000000001</c:v>
                </c:pt>
                <c:pt idx="243">
                  <c:v>46.073940999999998</c:v>
                </c:pt>
                <c:pt idx="244">
                  <c:v>25.859750999999999</c:v>
                </c:pt>
                <c:pt idx="245">
                  <c:v>430.350414</c:v>
                </c:pt>
                <c:pt idx="246">
                  <c:v>222.281116</c:v>
                </c:pt>
                <c:pt idx="247">
                  <c:v>86.518801999999994</c:v>
                </c:pt>
                <c:pt idx="248">
                  <c:v>79.029357000000005</c:v>
                </c:pt>
                <c:pt idx="249">
                  <c:v>169.222261</c:v>
                </c:pt>
                <c:pt idx="250">
                  <c:v>163.46713299999999</c:v>
                </c:pt>
                <c:pt idx="251">
                  <c:v>78.416832999999997</c:v>
                </c:pt>
                <c:pt idx="252">
                  <c:v>117.721412</c:v>
                </c:pt>
                <c:pt idx="253">
                  <c:v>65.276765999999995</c:v>
                </c:pt>
                <c:pt idx="254">
                  <c:v>87.586078000000001</c:v>
                </c:pt>
                <c:pt idx="255">
                  <c:v>96.260041000000001</c:v>
                </c:pt>
                <c:pt idx="256">
                  <c:v>156.35469900000001</c:v>
                </c:pt>
                <c:pt idx="257">
                  <c:v>113.487619</c:v>
                </c:pt>
                <c:pt idx="258">
                  <c:v>61.274036000000002</c:v>
                </c:pt>
                <c:pt idx="259">
                  <c:v>102.756618</c:v>
                </c:pt>
                <c:pt idx="260">
                  <c:v>86.846672999999996</c:v>
                </c:pt>
                <c:pt idx="261">
                  <c:v>35.106870000000001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EC-9842-BD07-8DEA2D8FD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22347007"/>
        <c:axId val="1022349247"/>
      </c:barChart>
      <c:dateAx>
        <c:axId val="1022347007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2349247"/>
        <c:crosses val="autoZero"/>
        <c:auto val="1"/>
        <c:lblOffset val="100"/>
        <c:baseTimeUnit val="days"/>
      </c:dateAx>
      <c:valAx>
        <c:axId val="1022349247"/>
        <c:scaling>
          <c:orientation val="minMax"/>
          <c:max val="550"/>
          <c:min val="0"/>
        </c:scaling>
        <c:delete val="0"/>
        <c:axPos val="l"/>
        <c:numFmt formatCode="0&quot;m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23470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D2-2240-A273-58F56F778E3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D2-2240-A273-58F56F778E3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BD2-2240-A273-58F56F778E3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'Share Price'!$I$281:$I$283</c:f>
              <c:strCache>
                <c:ptCount val="3"/>
                <c:pt idx="0">
                  <c:v>FII</c:v>
                </c:pt>
                <c:pt idx="1">
                  <c:v>DII</c:v>
                </c:pt>
                <c:pt idx="2">
                  <c:v>Public &amp; Government</c:v>
                </c:pt>
              </c:strCache>
            </c:strRef>
          </c:cat>
          <c:val>
            <c:numRef>
              <c:f>'Share Price'!$J$281:$J$283</c:f>
              <c:numCache>
                <c:formatCode>0.00%</c:formatCode>
                <c:ptCount val="3"/>
                <c:pt idx="0">
                  <c:v>0.36109999999999998</c:v>
                </c:pt>
                <c:pt idx="1">
                  <c:v>0.48899999999999999</c:v>
                </c:pt>
                <c:pt idx="2">
                  <c:v>0.14990000000000001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D2-2240-A273-58F56F778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5195903"/>
        <c:axId val="251518847"/>
      </c:barChart>
      <c:catAx>
        <c:axId val="2351959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518847"/>
        <c:crosses val="autoZero"/>
        <c:auto val="1"/>
        <c:lblAlgn val="ctr"/>
        <c:lblOffset val="100"/>
        <c:noMultiLvlLbl val="0"/>
      </c:catAx>
      <c:valAx>
        <c:axId val="251518847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195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2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101601</xdr:colOff>
      <xdr:row>3</xdr:row>
      <xdr:rowOff>20321</xdr:rowOff>
    </xdr:from>
    <xdr:to>
      <xdr:col>1</xdr:col>
      <xdr:colOff>833120</xdr:colOff>
      <xdr:row>3</xdr:row>
      <xdr:rowOff>794975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87201D-B3EC-B765-DA13-68B52A82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487681"/>
          <a:ext cx="731519" cy="774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124461</xdr:colOff>
      <xdr:row>7</xdr:row>
      <xdr:rowOff>34637</xdr:rowOff>
    </xdr:from>
    <xdr:to>
      <xdr:col>10</xdr:col>
      <xdr:colOff>792480</xdr:colOff>
      <xdr:row>17</xdr:row>
      <xdr:rowOff>72506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8F68069-BCE0-A245-AC88-B8CCC8C582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63500</xdr:colOff>
      <xdr:row>19</xdr:row>
      <xdr:rowOff>25400</xdr:rowOff>
    </xdr:from>
    <xdr:to>
      <xdr:col>10</xdr:col>
      <xdr:colOff>774700</xdr:colOff>
      <xdr:row>26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CD8E84A-1627-4F48-B1B5-FCC4D4F4A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50297</xdr:colOff>
      <xdr:row>29</xdr:row>
      <xdr:rowOff>25148</xdr:rowOff>
    </xdr:from>
    <xdr:to>
      <xdr:col>10</xdr:col>
      <xdr:colOff>767029</xdr:colOff>
      <xdr:row>39</xdr:row>
      <xdr:rowOff>60960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A9EFF91-3A26-6842-9321-29EAF03F4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103910</xdr:colOff>
      <xdr:row>46</xdr:row>
      <xdr:rowOff>11545</xdr:rowOff>
    </xdr:from>
    <xdr:to>
      <xdr:col>7</xdr:col>
      <xdr:colOff>57728</xdr:colOff>
      <xdr:row>49</xdr:row>
      <xdr:rowOff>69273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3FB88B0-3C71-0CE5-1ACB-55892CBA8863}"/>
            </a:ext>
          </a:extLst>
        </xdr:cNvPr>
        <xdr:cNvSpPr txBox="1"/>
      </xdr:nvSpPr>
      <xdr:spPr>
        <a:xfrm>
          <a:off x="103910" y="9005454"/>
          <a:ext cx="7239000" cy="6465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IN"/>
            <a:t>Median remuneration of employees - Increased by 7%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IN"/>
            <a:t>Average remuneration of employees - Increased by 5%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IN"/>
            <a:t>Average remuneration of employees excluding Key Managerial Personnel (KMPs) - Increased by 5%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nnual" displayName="Annual" ref="A3:N19" headerRowCount="0" totalsRowShown="0" headerRowDxfId="30">
  <tableColumns count="14">
    <tableColumn id="1" xr3:uid="{00000000-0010-0000-0000-000001000000}" name="Column1" headerRowDxfId="29" dataDxfId="28"/>
    <tableColumn id="2" xr3:uid="{00000000-0010-0000-0000-000002000000}" name="Column2" headerRowDxfId="27"/>
    <tableColumn id="3" xr3:uid="{00000000-0010-0000-0000-000003000000}" name="Column3" headerRowDxfId="26"/>
    <tableColumn id="4" xr3:uid="{00000000-0010-0000-0000-000004000000}" name="Column4" headerRowDxfId="25"/>
    <tableColumn id="5" xr3:uid="{00000000-0010-0000-0000-000005000000}" name="Column5" headerRowDxfId="24"/>
    <tableColumn id="6" xr3:uid="{00000000-0010-0000-0000-000006000000}" name="Column6" headerRowDxfId="23"/>
    <tableColumn id="7" xr3:uid="{00000000-0010-0000-0000-000007000000}" name="Column7" headerRowDxfId="22"/>
    <tableColumn id="8" xr3:uid="{00000000-0010-0000-0000-000008000000}" name="Column8" headerRowDxfId="21"/>
    <tableColumn id="9" xr3:uid="{00000000-0010-0000-0000-000009000000}" name="Column9" headerRowDxfId="20"/>
    <tableColumn id="10" xr3:uid="{00000000-0010-0000-0000-00000A000000}" name="Column10" headerRowDxfId="19"/>
    <tableColumn id="11" xr3:uid="{00000000-0010-0000-0000-00000B000000}" name="Column11" headerRowDxfId="18"/>
    <tableColumn id="12" xr3:uid="{00000000-0010-0000-0000-00000C000000}" name="Column12" headerRowDxfId="17"/>
    <tableColumn id="13" xr3:uid="{00000000-0010-0000-0000-00000D000000}" name="Column13" headerRowDxfId="16" dataDxfId="15"/>
    <tableColumn id="14" xr3:uid="{00000000-0010-0000-0000-00000E000000}" name="Column14" headerRowDxfId="14" dataDxfId="13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Quarters" displayName="Quarters" ref="A3:K14" headerRowCount="0" totalsRowShown="0" headerRowDxfId="12">
  <tableColumns count="11">
    <tableColumn id="1" xr3:uid="{00000000-0010-0000-0100-000001000000}" name="Column1" headerRowDxfId="11"/>
    <tableColumn id="2" xr3:uid="{00000000-0010-0000-0100-000002000000}" name="Column2" headerRowDxfId="10"/>
    <tableColumn id="3" xr3:uid="{00000000-0010-0000-0100-000003000000}" name="Column3" headerRowDxfId="9"/>
    <tableColumn id="4" xr3:uid="{00000000-0010-0000-0100-000004000000}" name="Column4" headerRowDxfId="8"/>
    <tableColumn id="5" xr3:uid="{00000000-0010-0000-0100-000005000000}" name="Column5" headerRowDxfId="7"/>
    <tableColumn id="6" xr3:uid="{00000000-0010-0000-0100-000006000000}" name="Column6" headerRowDxfId="6"/>
    <tableColumn id="7" xr3:uid="{00000000-0010-0000-0100-000007000000}" name="Column7" headerRowDxfId="5"/>
    <tableColumn id="8" xr3:uid="{00000000-0010-0000-0100-000008000000}" name="Column8" headerRowDxfId="4"/>
    <tableColumn id="9" xr3:uid="{00000000-0010-0000-0100-000009000000}" name="Column9" headerRowDxfId="3"/>
    <tableColumn id="10" xr3:uid="{00000000-0010-0000-0100-00000A000000}" name="Column10" headerRowDxfId="2"/>
    <tableColumn id="11" xr3:uid="{00000000-0010-0000-0100-00000B000000}" name="Column11" headerRowDxfId="1"/>
  </tableColumns>
  <tableStyleInfo name="TableStyleLight1" showFirstColumn="0" showLastColumn="0" showRowStripes="0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djacency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djacency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75000">
              <a:schemeClr val="phClr">
                <a:shade val="100000"/>
                <a:satMod val="115000"/>
              </a:schemeClr>
            </a:gs>
            <a:gs pos="100000">
              <a:schemeClr val="phClr">
                <a:shade val="70000"/>
                <a:satMod val="130000"/>
              </a:schemeClr>
            </a:gs>
          </a:gsLst>
          <a:path path="circle">
            <a:fillToRect l="20000" t="50000" r="100000" b="5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97000"/>
              </a:schemeClr>
              <a:schemeClr val="phClr">
                <a:shade val="96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reener.in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creener.in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creener.in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screener.in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creener.in/excel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creener.in/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A64E-8D38-2642-BEA5-B0C14207B78E}">
  <dimension ref="B2:K68"/>
  <sheetViews>
    <sheetView showGridLines="0" tabSelected="1" zoomScaleNormal="100" workbookViewId="0">
      <selection activeCell="C8" sqref="C8"/>
    </sheetView>
  </sheetViews>
  <sheetFormatPr baseColWidth="10" defaultRowHeight="15"/>
  <cols>
    <col min="1" max="1" width="2" customWidth="1"/>
    <col min="2" max="2" width="37" customWidth="1"/>
    <col min="5" max="5" width="13" bestFit="1" customWidth="1"/>
    <col min="8" max="8" width="1.6640625" customWidth="1"/>
    <col min="10" max="10" width="14.1640625" customWidth="1"/>
    <col min="11" max="11" width="11.6640625" bestFit="1" customWidth="1"/>
    <col min="12" max="12" width="2.1640625" customWidth="1"/>
  </cols>
  <sheetData>
    <row r="2" spans="2:11" ht="19">
      <c r="B2" s="62" t="str">
        <f>'Data Sheet'!B1&amp;" - One Page Profile"</f>
        <v>ITC LTD - One Page Profile</v>
      </c>
      <c r="C2" s="62"/>
      <c r="D2" s="62"/>
      <c r="E2" s="62"/>
      <c r="F2" s="62"/>
      <c r="G2" s="62"/>
      <c r="H2" s="62"/>
      <c r="I2" s="62"/>
      <c r="J2" s="62"/>
      <c r="K2" s="62"/>
    </row>
    <row r="3" spans="2:11" ht="6" customHeight="1"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2:11" ht="67" customHeight="1">
      <c r="B4" s="29"/>
      <c r="C4" s="63" t="s">
        <v>177</v>
      </c>
      <c r="D4" s="63"/>
      <c r="E4" s="63"/>
      <c r="F4" s="63"/>
      <c r="G4" s="63"/>
      <c r="H4" s="63"/>
      <c r="I4" s="63"/>
      <c r="J4" s="63"/>
      <c r="K4" s="63"/>
    </row>
    <row r="5" spans="2:11">
      <c r="B5" s="32" t="s">
        <v>95</v>
      </c>
    </row>
    <row r="6" spans="2:11" ht="16">
      <c r="B6" s="30" t="s">
        <v>93</v>
      </c>
      <c r="C6" s="31">
        <f>'Profit &amp; Loss'!G3</f>
        <v>44286</v>
      </c>
      <c r="D6" s="31">
        <f>'Profit &amp; Loss'!H3</f>
        <v>44651</v>
      </c>
      <c r="E6" s="31">
        <f>'Profit &amp; Loss'!I3</f>
        <v>45016</v>
      </c>
      <c r="F6" s="31">
        <f>'Profit &amp; Loss'!J3</f>
        <v>45382</v>
      </c>
      <c r="G6" s="31">
        <f>'Profit &amp; Loss'!K3</f>
        <v>45747</v>
      </c>
      <c r="I6" s="64" t="s">
        <v>118</v>
      </c>
      <c r="J6" s="65"/>
      <c r="K6" s="65"/>
    </row>
    <row r="7" spans="2:11" s="42" customFormat="1" ht="2" customHeight="1"/>
    <row r="8" spans="2:11">
      <c r="B8" s="49" t="s">
        <v>94</v>
      </c>
      <c r="C8" s="50">
        <f>'Profit &amp; Loss'!G4</f>
        <v>49257.45</v>
      </c>
      <c r="D8" s="50">
        <f>'Profit &amp; Loss'!H4</f>
        <v>60644.54</v>
      </c>
      <c r="E8" s="50">
        <f>'Profit &amp; Loss'!I4</f>
        <v>70919.03</v>
      </c>
      <c r="F8" s="50">
        <f>'Profit &amp; Loss'!J4</f>
        <v>67931.94</v>
      </c>
      <c r="G8" s="50">
        <f>'Profit &amp; Loss'!K4</f>
        <v>75323.34</v>
      </c>
    </row>
    <row r="9" spans="2:11">
      <c r="B9" s="51" t="s">
        <v>110</v>
      </c>
      <c r="C9" s="52">
        <f>'Profit &amp; Loss'!G27</f>
        <v>-2.6372963308678443E-3</v>
      </c>
      <c r="D9" s="52">
        <f>'Profit &amp; Loss'!H27</f>
        <v>0.23117497962237188</v>
      </c>
      <c r="E9" s="52">
        <f>'Profit &amp; Loss'!I27</f>
        <v>0.1694215175842706</v>
      </c>
      <c r="F9" s="52">
        <f>'Profit &amp; Loss'!J27</f>
        <v>-4.2119724423754779E-2</v>
      </c>
      <c r="G9" s="52">
        <f>'Profit &amp; Loss'!K27</f>
        <v>0.10880596078957838</v>
      </c>
    </row>
    <row r="10" spans="2:11">
      <c r="B10" s="49" t="s">
        <v>100</v>
      </c>
      <c r="C10" s="53">
        <f>'Profit &amp; Loss'!G30</f>
        <v>0.51867747924425645</v>
      </c>
      <c r="D10" s="53">
        <f>'Profit &amp; Loss'!H30</f>
        <v>0.49650026201864172</v>
      </c>
      <c r="E10" s="53">
        <f>'Profit &amp; Loss'!I30</f>
        <v>0.53068887152009825</v>
      </c>
      <c r="F10" s="53">
        <f>'Profit &amp; Loss'!J30</f>
        <v>0.54582483585777175</v>
      </c>
      <c r="G10" s="53">
        <f>'Profit &amp; Loss'!K30</f>
        <v>0.51209372818571242</v>
      </c>
    </row>
    <row r="11" spans="2:11">
      <c r="B11" s="49" t="s">
        <v>101</v>
      </c>
      <c r="C11" s="53">
        <f>'Profit &amp; Loss'!G32</f>
        <v>0.34644058919006154</v>
      </c>
      <c r="D11" s="53">
        <f>'Profit &amp; Loss'!H32</f>
        <v>0.3400660636555245</v>
      </c>
      <c r="E11" s="53">
        <f>'Profit &amp; Loss'!I32</f>
        <v>0.36244517162741785</v>
      </c>
      <c r="F11" s="53">
        <f>'Profit &amp; Loss'!J32</f>
        <v>0.37077595605248426</v>
      </c>
      <c r="G11" s="53">
        <f>'Profit &amp; Loss'!K32</f>
        <v>0.34304705553418102</v>
      </c>
    </row>
    <row r="12" spans="2:11">
      <c r="B12" s="49" t="s">
        <v>105</v>
      </c>
      <c r="C12" s="53">
        <f>'Profit &amp; Loss'!G34</f>
        <v>0.31303264785326884</v>
      </c>
      <c r="D12" s="53">
        <f>'Profit &amp; Loss'!H34</f>
        <v>0.3114994358931571</v>
      </c>
      <c r="E12" s="53">
        <f>'Profit &amp; Loss'!I34</f>
        <v>0.33693706752616326</v>
      </c>
      <c r="F12" s="53">
        <f>'Profit &amp; Loss'!J34</f>
        <v>0.34842932499793172</v>
      </c>
      <c r="G12" s="53">
        <f>'Profit &amp; Loss'!K34</f>
        <v>0.3211903508261848</v>
      </c>
    </row>
    <row r="13" spans="2:11">
      <c r="B13" s="49" t="s">
        <v>106</v>
      </c>
      <c r="C13" s="53">
        <f>'Profit &amp; Loss'!G35</f>
        <v>0.26719186640802561</v>
      </c>
      <c r="D13" s="53">
        <f>'Profit &amp; Loss'!H35</f>
        <v>0.25134430898478244</v>
      </c>
      <c r="E13" s="53">
        <f>'Profit &amp; Loss'!I35</f>
        <v>0.27061368436652333</v>
      </c>
      <c r="F13" s="53">
        <f>'Profit &amp; Loss'!J35</f>
        <v>0.30116584334261615</v>
      </c>
      <c r="G13" s="53">
        <f>'Profit &amp; Loss'!K35</f>
        <v>0.46129964497060272</v>
      </c>
    </row>
    <row r="14" spans="2:11">
      <c r="B14" s="49" t="s">
        <v>108</v>
      </c>
      <c r="C14" s="54">
        <f>'Profit &amp; Loss'!G13</f>
        <v>10.692504549590536</v>
      </c>
      <c r="D14" s="54">
        <f>'Profit &amp; Loss'!H13</f>
        <v>12.368975842509718</v>
      </c>
      <c r="E14" s="54">
        <f>'Profit &amp; Loss'!I13</f>
        <v>15.442275506919859</v>
      </c>
      <c r="F14" s="54">
        <f>'Profit &amp; Loss'!J13</f>
        <v>16.387081788108645</v>
      </c>
      <c r="G14" s="54">
        <f>'Profit &amp; Loss'!K13</f>
        <v>27.765983970081745</v>
      </c>
    </row>
    <row r="15" spans="2:11">
      <c r="B15" s="51" t="s">
        <v>109</v>
      </c>
      <c r="C15" s="52">
        <f>'Profit &amp; Loss'!G37</f>
        <v>-0.14130125821657724</v>
      </c>
      <c r="D15" s="52">
        <f>'Profit &amp; Loss'!H37</f>
        <v>0.15678939252669122</v>
      </c>
      <c r="E15" s="52">
        <f>'Profit &amp; Loss'!I37</f>
        <v>0.24846840219768396</v>
      </c>
      <c r="F15" s="52">
        <f>'Profit &amp; Loss'!J37</f>
        <v>6.1183099651693551E-2</v>
      </c>
      <c r="G15" s="52">
        <f>'Profit &amp; Loss'!K37</f>
        <v>0.69438246108164581</v>
      </c>
    </row>
    <row r="16" spans="2:11">
      <c r="B16" s="49" t="s">
        <v>114</v>
      </c>
      <c r="C16" s="55">
        <f>'Profit &amp; Loss'!G38</f>
        <v>10.749999999999998</v>
      </c>
      <c r="D16" s="55">
        <f>'Profit &amp; Loss'!H38</f>
        <v>11.500004057354767</v>
      </c>
      <c r="E16" s="55">
        <f>'Profit &amp; Loss'!I38</f>
        <v>15.500000000000004</v>
      </c>
      <c r="F16" s="55">
        <f>'Profit &amp; Loss'!J38</f>
        <v>13.749997997549</v>
      </c>
      <c r="G16" s="55">
        <f>'Profit &amp; Loss'!K38</f>
        <v>14.349997203154841</v>
      </c>
    </row>
    <row r="17" spans="2:11">
      <c r="B17" s="51" t="s">
        <v>115</v>
      </c>
      <c r="C17" s="52">
        <f>'Profit &amp; Loss'!G39</f>
        <v>5.9113555156941722E-2</v>
      </c>
      <c r="D17" s="52">
        <f>'Profit &amp; Loss'!H39</f>
        <v>6.9767819288815591E-2</v>
      </c>
      <c r="E17" s="52">
        <f>'Profit &amp; Loss'!I39</f>
        <v>0.34782561142550739</v>
      </c>
      <c r="F17" s="52">
        <f>'Profit &amp; Loss'!J39</f>
        <v>-0.1129033549968389</v>
      </c>
      <c r="G17" s="52">
        <f>'Profit &amp; Loss'!K39</f>
        <v>4.3636312217121276E-2</v>
      </c>
    </row>
    <row r="19" spans="2:11" ht="16">
      <c r="B19" s="30" t="s">
        <v>127</v>
      </c>
      <c r="C19" s="31">
        <f>C6</f>
        <v>44286</v>
      </c>
      <c r="D19" s="31">
        <f t="shared" ref="D19:G19" si="0">D6</f>
        <v>44651</v>
      </c>
      <c r="E19" s="31">
        <f t="shared" si="0"/>
        <v>45016</v>
      </c>
      <c r="F19" s="31">
        <f t="shared" si="0"/>
        <v>45382</v>
      </c>
      <c r="G19" s="31">
        <f t="shared" si="0"/>
        <v>45747</v>
      </c>
      <c r="I19" s="64" t="s">
        <v>133</v>
      </c>
      <c r="J19" s="65"/>
      <c r="K19" s="65"/>
    </row>
    <row r="20" spans="2:11" ht="3" customHeight="1"/>
    <row r="21" spans="2:11">
      <c r="B21" s="49" t="s">
        <v>129</v>
      </c>
      <c r="C21" s="56">
        <f>'Profit &amp; Loss'!G14</f>
        <v>19.155474664525016</v>
      </c>
      <c r="D21" s="56">
        <f>'Profit &amp; Loss'!H14</f>
        <v>18.995913889045614</v>
      </c>
      <c r="E21" s="56">
        <f>'Profit &amp; Loss'!I14</f>
        <v>23.279600201337455</v>
      </c>
      <c r="F21" s="56">
        <f>'Profit &amp; Loss'!J14</f>
        <v>24.502837368601647</v>
      </c>
      <c r="G21" s="56">
        <f>'Profit &amp; Loss'!K14</f>
        <v>14.757265596692401</v>
      </c>
    </row>
    <row r="22" spans="2:11">
      <c r="B22" s="49" t="s">
        <v>123</v>
      </c>
      <c r="C22" s="56">
        <f>'Profit &amp; Loss'!G46</f>
        <v>14.516486681926171</v>
      </c>
      <c r="D22" s="56">
        <f>'Profit &amp; Loss'!H46</f>
        <v>13.826368755500493</v>
      </c>
      <c r="E22" s="56">
        <f>'Profit &amp; Loss'!I46</f>
        <v>17.203374926957636</v>
      </c>
      <c r="F22" s="56">
        <f>'Profit &amp; Loss'!J46</f>
        <v>19.628121896033473</v>
      </c>
      <c r="G22" s="56">
        <f>'Profit &amp; Loss'!K46</f>
        <v>19.700010158884965</v>
      </c>
    </row>
    <row r="23" spans="2:11">
      <c r="B23" s="49" t="s">
        <v>124</v>
      </c>
      <c r="C23" s="56">
        <f>'Profit &amp; Loss'!G47</f>
        <v>5.0291001990561837</v>
      </c>
      <c r="D23" s="56">
        <f>'Profit &amp; Loss'!H47</f>
        <v>4.7018787973327854</v>
      </c>
      <c r="E23" s="56">
        <f>'Profit &amp; Loss'!I47</f>
        <v>6.2352801779719771</v>
      </c>
      <c r="F23" s="56">
        <f>'Profit &amp; Loss'!J47</f>
        <v>7.2776356615165119</v>
      </c>
      <c r="G23" s="56">
        <f>'Profit &amp; Loss'!K47</f>
        <v>6.7580304789989407</v>
      </c>
    </row>
    <row r="24" spans="2:11">
      <c r="B24" s="49" t="s">
        <v>128</v>
      </c>
      <c r="C24" s="56">
        <f>'Profit &amp; Loss'!G49</f>
        <v>4.177629728170289</v>
      </c>
      <c r="D24" s="56">
        <f>'Profit &amp; Loss'!H49</f>
        <v>4.6360677966753006</v>
      </c>
      <c r="E24" s="56">
        <f>'Profit &amp; Loss'!I49</f>
        <v>6.4604510488428497</v>
      </c>
      <c r="F24" s="56">
        <f>'Profit &amp; Loss'!J49</f>
        <v>6.728202170265881</v>
      </c>
      <c r="G24" s="56">
        <f>'Profit &amp; Loss'!K49</f>
        <v>7.3220745594212779</v>
      </c>
    </row>
    <row r="25" spans="2:11">
      <c r="B25" s="49" t="s">
        <v>130</v>
      </c>
      <c r="C25" s="53">
        <f>'Balance Sheet'!G23</f>
        <v>0.21809063995198466</v>
      </c>
      <c r="D25" s="53">
        <f>'Balance Sheet'!H23</f>
        <v>0.24405605456807136</v>
      </c>
      <c r="E25" s="53">
        <f>'Balance Sheet'!I23</f>
        <v>0.2775155497933201</v>
      </c>
      <c r="F25" s="53">
        <f>'Balance Sheet'!J23</f>
        <v>0.27458869636409999</v>
      </c>
      <c r="G25" s="53">
        <f>'Balance Sheet'!K23</f>
        <v>0.49616743098141436</v>
      </c>
    </row>
    <row r="26" spans="2:11">
      <c r="B26" s="49" t="s">
        <v>131</v>
      </c>
      <c r="C26" s="53">
        <f>'Balance Sheet'!G24</f>
        <v>0.28527066262298589</v>
      </c>
      <c r="D26" s="53">
        <f>'Balance Sheet'!H24</f>
        <v>0.33733252742915004</v>
      </c>
      <c r="E26" s="53">
        <f>'Balance Sheet'!I24</f>
        <v>0.39333609298769096</v>
      </c>
      <c r="F26" s="53">
        <f>'Balance Sheet'!J24</f>
        <v>0.3742927321936183</v>
      </c>
      <c r="G26" s="53">
        <f>'Balance Sheet'!K24</f>
        <v>0.57864605289976878</v>
      </c>
    </row>
    <row r="28" spans="2:11" ht="16">
      <c r="B28" s="30" t="s">
        <v>147</v>
      </c>
      <c r="C28" s="66" t="str">
        <f>'Share Price'!K268</f>
        <v>No. of Shares (in Crs.)</v>
      </c>
      <c r="D28" s="66"/>
      <c r="E28" s="31" t="str">
        <f>'Share Price'!L268</f>
        <v>% Holding</v>
      </c>
      <c r="F28" s="66" t="str">
        <f>'Share Price'!M268</f>
        <v>Market Value (in Crs.)</v>
      </c>
      <c r="G28" s="66"/>
      <c r="I28" s="64" t="s">
        <v>152</v>
      </c>
      <c r="J28" s="65"/>
      <c r="K28" s="65"/>
    </row>
    <row r="29" spans="2:11" ht="3" customHeight="1">
      <c r="C29" s="26"/>
    </row>
    <row r="30" spans="2:11">
      <c r="B30" s="49" t="str">
        <f>'Share Price'!J269</f>
        <v>Tobacco Manufacturers (India) Limited</v>
      </c>
      <c r="C30" s="67">
        <f>'Share Price'!K269</f>
        <v>222.8495863</v>
      </c>
      <c r="D30" s="67"/>
      <c r="E30" s="58">
        <f>'Share Price'!L269</f>
        <v>0.1779</v>
      </c>
      <c r="F30" s="67">
        <f>'Share Price'!M269</f>
        <v>68370.253076840003</v>
      </c>
      <c r="G30" s="67"/>
    </row>
    <row r="31" spans="2:11">
      <c r="B31" s="49" t="str">
        <f>'Share Price'!J270</f>
        <v>Life Insurance Corporation of India</v>
      </c>
      <c r="C31" s="67">
        <f>'Share Price'!K270</f>
        <v>198.32052530000001</v>
      </c>
      <c r="D31" s="67"/>
      <c r="E31" s="58">
        <f>'Share Price'!L270</f>
        <v>0.1583</v>
      </c>
      <c r="F31" s="67">
        <f>'Share Price'!M270</f>
        <v>60844.737162040008</v>
      </c>
      <c r="G31" s="67"/>
    </row>
    <row r="32" spans="2:11">
      <c r="B32" s="49" t="str">
        <f>'Share Price'!J271</f>
        <v>Specified Undertaking of the Unit Trust of India</v>
      </c>
      <c r="C32" s="67">
        <f>'Share Price'!K271</f>
        <v>97.453142700000001</v>
      </c>
      <c r="D32" s="67"/>
      <c r="E32" s="58">
        <f>'Share Price'!L271</f>
        <v>7.7800000000000008E-2</v>
      </c>
      <c r="F32" s="67">
        <f>'Share Price'!M271</f>
        <v>29898.624180360002</v>
      </c>
      <c r="G32" s="67"/>
    </row>
    <row r="33" spans="2:11">
      <c r="B33" s="49" t="str">
        <f>'Share Price'!J272</f>
        <v>Myddleton Investment Company Limited</v>
      </c>
      <c r="C33" s="67">
        <f>'Share Price'!K272</f>
        <v>48.631194000000001</v>
      </c>
      <c r="D33" s="67"/>
      <c r="E33" s="58">
        <f>'Share Price'!L272</f>
        <v>3.8800000000000001E-2</v>
      </c>
      <c r="F33" s="67">
        <f>'Share Price'!M272</f>
        <v>14920.050319200001</v>
      </c>
      <c r="G33" s="67"/>
    </row>
    <row r="34" spans="2:11">
      <c r="B34" s="49" t="str">
        <f>'Share Price'!J273</f>
        <v>ICICI Prudential Mutual Funds</v>
      </c>
      <c r="C34" s="67">
        <f>'Share Price'!K273</f>
        <v>44.801725699999999</v>
      </c>
      <c r="D34" s="67"/>
      <c r="E34" s="58">
        <f>'Share Price'!L273</f>
        <v>3.5799999999999998E-2</v>
      </c>
      <c r="F34" s="67">
        <f>'Share Price'!M273</f>
        <v>13745.16944476</v>
      </c>
      <c r="G34" s="67"/>
    </row>
    <row r="35" spans="2:11">
      <c r="B35" s="49" t="str">
        <f>'Share Price'!J274</f>
        <v>SBI Mutual Funds</v>
      </c>
      <c r="C35" s="67">
        <f>'Share Price'!K274</f>
        <v>41.263847400000003</v>
      </c>
      <c r="D35" s="67"/>
      <c r="E35" s="58">
        <f>'Share Price'!L274</f>
        <v>3.2899999999999999E-2</v>
      </c>
      <c r="F35" s="67">
        <f>'Share Price'!M274</f>
        <v>12659.748382320002</v>
      </c>
      <c r="G35" s="67"/>
    </row>
    <row r="36" spans="2:11">
      <c r="B36" s="49" t="str">
        <f>'Share Price'!J275</f>
        <v>QIB - Insurance Company Registered</v>
      </c>
      <c r="C36" s="67">
        <f>'Share Price'!K275</f>
        <v>26.3704964</v>
      </c>
      <c r="D36" s="67"/>
      <c r="E36" s="58">
        <f>'Share Price'!L275</f>
        <v>2.1099999999999997E-2</v>
      </c>
      <c r="F36" s="67">
        <f>'Share Price'!M275</f>
        <v>8090.4682955200005</v>
      </c>
      <c r="G36" s="67"/>
    </row>
    <row r="37" spans="2:11">
      <c r="B37" s="49" t="str">
        <f>'Share Price'!J276</f>
        <v>Parag Parikh Flexi Cap Mutual Funds</v>
      </c>
      <c r="C37" s="67">
        <f>'Share Price'!K276</f>
        <v>23.861659400000001</v>
      </c>
      <c r="D37" s="67"/>
      <c r="E37" s="58">
        <f>'Share Price'!L276</f>
        <v>1.9E-2</v>
      </c>
      <c r="F37" s="67">
        <f>'Share Price'!M276</f>
        <v>7320.7571039200002</v>
      </c>
      <c r="G37" s="67"/>
    </row>
    <row r="38" spans="2:11">
      <c r="B38" s="49" t="str">
        <f>'Share Price'!J277</f>
        <v>GQG Partners International Opportunities Fund</v>
      </c>
      <c r="C38" s="67">
        <f>'Share Price'!K277</f>
        <v>21.766938700000001</v>
      </c>
      <c r="D38" s="67"/>
      <c r="E38" s="58">
        <f>'Share Price'!L277</f>
        <v>1.7399999999999999E-2</v>
      </c>
      <c r="F38" s="67">
        <f>'Share Price'!M277</f>
        <v>6678.0967931600007</v>
      </c>
      <c r="G38" s="67"/>
    </row>
    <row r="39" spans="2:11">
      <c r="B39" s="49" t="str">
        <f>'Share Price'!J278</f>
        <v>General Insurance Corporation of India</v>
      </c>
      <c r="C39" s="67">
        <f>'Share Price'!K278</f>
        <v>21.718550799999999</v>
      </c>
      <c r="D39" s="67"/>
      <c r="E39" s="58">
        <f>'Share Price'!L278</f>
        <v>1.7299999999999999E-2</v>
      </c>
      <c r="F39" s="67">
        <f>'Share Price'!M278</f>
        <v>6663.2513854400004</v>
      </c>
      <c r="G39" s="67"/>
    </row>
    <row r="41" spans="2:11" ht="16">
      <c r="B41" s="30" t="s">
        <v>160</v>
      </c>
      <c r="C41" s="66" t="s">
        <v>161</v>
      </c>
      <c r="D41" s="66"/>
      <c r="E41" s="31" t="s">
        <v>162</v>
      </c>
      <c r="F41" s="66" t="s">
        <v>163</v>
      </c>
      <c r="G41" s="66"/>
      <c r="I41" s="64" t="s">
        <v>153</v>
      </c>
      <c r="J41" s="65"/>
      <c r="K41" s="65"/>
    </row>
    <row r="42" spans="2:11" ht="2" customHeight="1">
      <c r="I42" s="69"/>
      <c r="J42" s="69"/>
    </row>
    <row r="43" spans="2:11">
      <c r="B43" s="49" t="s">
        <v>164</v>
      </c>
      <c r="C43" s="68" t="s">
        <v>168</v>
      </c>
      <c r="D43" s="68"/>
      <c r="E43" s="49">
        <v>25.66</v>
      </c>
      <c r="F43" s="73">
        <v>377</v>
      </c>
      <c r="G43" s="74"/>
      <c r="I43" s="70" t="s">
        <v>154</v>
      </c>
      <c r="J43" s="70"/>
      <c r="K43" s="57">
        <f>'Data Sheet'!K90</f>
        <v>409.75</v>
      </c>
    </row>
    <row r="44" spans="2:11">
      <c r="B44" s="49" t="s">
        <v>165</v>
      </c>
      <c r="C44" s="68" t="s">
        <v>170</v>
      </c>
      <c r="D44" s="68"/>
      <c r="E44" s="49">
        <v>8.5299999999999994</v>
      </c>
      <c r="F44" s="73">
        <v>13</v>
      </c>
      <c r="G44" s="74"/>
      <c r="I44" s="70" t="s">
        <v>155</v>
      </c>
      <c r="J44" s="70"/>
      <c r="K44" s="57">
        <f>'Data Sheet'!K93</f>
        <v>1251.4100000000001</v>
      </c>
    </row>
    <row r="45" spans="2:11">
      <c r="B45" s="49" t="s">
        <v>166</v>
      </c>
      <c r="C45" s="68" t="s">
        <v>169</v>
      </c>
      <c r="D45" s="68"/>
      <c r="E45" s="49">
        <v>494.13</v>
      </c>
      <c r="F45" s="73">
        <v>99</v>
      </c>
      <c r="G45" s="74"/>
      <c r="I45" s="71" t="s">
        <v>79</v>
      </c>
      <c r="J45" s="71"/>
      <c r="K45" s="59">
        <f>K44*K43</f>
        <v>512765.24750000006</v>
      </c>
    </row>
    <row r="46" spans="2:11">
      <c r="B46" s="49" t="s">
        <v>167</v>
      </c>
      <c r="C46" s="68" t="s">
        <v>169</v>
      </c>
      <c r="D46" s="68"/>
      <c r="E46" s="49">
        <v>11.81</v>
      </c>
      <c r="F46" s="73">
        <v>174</v>
      </c>
      <c r="G46" s="74"/>
      <c r="I46" s="72" t="s">
        <v>156</v>
      </c>
      <c r="J46" s="72"/>
      <c r="K46" s="60">
        <f>-'Data Sheet'!K69</f>
        <v>-4012.36</v>
      </c>
    </row>
    <row r="47" spans="2:11">
      <c r="C47" s="76"/>
      <c r="D47" s="76"/>
      <c r="F47" s="75"/>
      <c r="G47" s="69"/>
      <c r="I47" s="77" t="s">
        <v>157</v>
      </c>
      <c r="J47" s="77"/>
      <c r="K47" s="57">
        <f>'Data Sheet'!K59</f>
        <v>284.54000000000002</v>
      </c>
    </row>
    <row r="48" spans="2:11">
      <c r="I48" s="77" t="s">
        <v>158</v>
      </c>
      <c r="J48" s="77"/>
      <c r="K48" s="57">
        <v>367.89</v>
      </c>
    </row>
    <row r="49" spans="2:11">
      <c r="I49" s="71" t="s">
        <v>159</v>
      </c>
      <c r="J49" s="71"/>
      <c r="K49" s="59">
        <f>SUM(K45:K48)</f>
        <v>509405.31750000006</v>
      </c>
    </row>
    <row r="50" spans="2:11">
      <c r="I50" s="20"/>
      <c r="J50" s="20"/>
    </row>
    <row r="51" spans="2:11" ht="16">
      <c r="B51" s="30" t="s">
        <v>171</v>
      </c>
      <c r="C51" s="66"/>
      <c r="D51" s="66"/>
      <c r="E51" s="31"/>
      <c r="F51" s="66"/>
      <c r="G51" s="66"/>
      <c r="H51" s="66"/>
      <c r="I51" s="66"/>
      <c r="J51" s="66"/>
      <c r="K51" s="66"/>
    </row>
    <row r="52" spans="2:11" ht="2" customHeight="1"/>
    <row r="53" spans="2:11">
      <c r="B53" s="78" t="s">
        <v>172</v>
      </c>
      <c r="C53" s="78"/>
      <c r="D53" s="78"/>
      <c r="E53" s="78"/>
      <c r="F53" s="78"/>
      <c r="G53" s="78"/>
      <c r="H53" s="78"/>
      <c r="I53" s="78"/>
      <c r="J53" s="78"/>
      <c r="K53" s="78"/>
    </row>
    <row r="54" spans="2:11" ht="15" customHeight="1">
      <c r="B54" s="78"/>
      <c r="C54" s="78"/>
      <c r="D54" s="78"/>
      <c r="E54" s="78"/>
      <c r="F54" s="78"/>
      <c r="G54" s="78"/>
      <c r="H54" s="78"/>
      <c r="I54" s="78"/>
      <c r="J54" s="78"/>
      <c r="K54" s="78"/>
    </row>
    <row r="55" spans="2:11" ht="5" customHeight="1">
      <c r="B55" s="61"/>
      <c r="C55" s="61"/>
      <c r="D55" s="61"/>
      <c r="E55" s="61"/>
      <c r="F55" s="61"/>
      <c r="G55" s="61"/>
      <c r="H55" s="61"/>
      <c r="I55" s="61"/>
      <c r="J55" s="61"/>
      <c r="K55" s="61"/>
    </row>
    <row r="56" spans="2:11" ht="15" customHeight="1">
      <c r="B56" s="78" t="s">
        <v>173</v>
      </c>
      <c r="C56" s="78"/>
      <c r="D56" s="78"/>
      <c r="E56" s="78"/>
      <c r="F56" s="78"/>
      <c r="G56" s="78"/>
      <c r="H56" s="78"/>
      <c r="I56" s="78"/>
      <c r="J56" s="78"/>
      <c r="K56" s="78"/>
    </row>
    <row r="57" spans="2:11">
      <c r="B57" s="78"/>
      <c r="C57" s="78"/>
      <c r="D57" s="78"/>
      <c r="E57" s="78"/>
      <c r="F57" s="78"/>
      <c r="G57" s="78"/>
      <c r="H57" s="78"/>
      <c r="I57" s="78"/>
      <c r="J57" s="78"/>
      <c r="K57" s="78"/>
    </row>
    <row r="58" spans="2:11" ht="5" customHeight="1">
      <c r="B58" s="61"/>
      <c r="C58" s="61"/>
      <c r="D58" s="61"/>
      <c r="E58" s="61"/>
      <c r="F58" s="61"/>
      <c r="G58" s="61"/>
      <c r="H58" s="61"/>
      <c r="I58" s="61"/>
      <c r="J58" s="61"/>
      <c r="K58" s="61"/>
    </row>
    <row r="59" spans="2:11" ht="15" customHeight="1">
      <c r="B59" s="78" t="s">
        <v>174</v>
      </c>
      <c r="C59" s="78"/>
      <c r="D59" s="78"/>
      <c r="E59" s="78"/>
      <c r="F59" s="78"/>
      <c r="G59" s="78"/>
      <c r="H59" s="78"/>
      <c r="I59" s="78"/>
      <c r="J59" s="78"/>
      <c r="K59" s="78"/>
    </row>
    <row r="60" spans="2:11">
      <c r="B60" s="78"/>
      <c r="C60" s="78"/>
      <c r="D60" s="78"/>
      <c r="E60" s="78"/>
      <c r="F60" s="78"/>
      <c r="G60" s="78"/>
      <c r="H60" s="78"/>
      <c r="I60" s="78"/>
      <c r="J60" s="78"/>
      <c r="K60" s="78"/>
    </row>
    <row r="61" spans="2:11" ht="5" customHeight="1">
      <c r="B61" s="61"/>
      <c r="C61" s="61"/>
      <c r="D61" s="61"/>
      <c r="E61" s="61"/>
      <c r="F61" s="61"/>
      <c r="G61" s="61"/>
      <c r="H61" s="61"/>
      <c r="I61" s="61"/>
      <c r="J61" s="61"/>
      <c r="K61" s="61"/>
    </row>
    <row r="62" spans="2:11" ht="15" customHeight="1">
      <c r="B62" s="78" t="s">
        <v>175</v>
      </c>
      <c r="C62" s="78"/>
      <c r="D62" s="78"/>
      <c r="E62" s="78"/>
      <c r="F62" s="78"/>
      <c r="G62" s="78"/>
      <c r="H62" s="78"/>
      <c r="I62" s="78"/>
      <c r="J62" s="78"/>
      <c r="K62" s="78"/>
    </row>
    <row r="63" spans="2:11">
      <c r="B63" s="78"/>
      <c r="C63" s="78"/>
      <c r="D63" s="78"/>
      <c r="E63" s="78"/>
      <c r="F63" s="78"/>
      <c r="G63" s="78"/>
      <c r="H63" s="78"/>
      <c r="I63" s="78"/>
      <c r="J63" s="78"/>
      <c r="K63" s="78"/>
    </row>
    <row r="64" spans="2:11" ht="5" customHeight="1">
      <c r="B64" s="61"/>
      <c r="C64" s="61"/>
      <c r="D64" s="61"/>
      <c r="E64" s="61"/>
      <c r="F64" s="61"/>
      <c r="G64" s="61"/>
      <c r="H64" s="61"/>
      <c r="I64" s="61"/>
      <c r="J64" s="61"/>
      <c r="K64" s="61"/>
    </row>
    <row r="65" spans="2:11" ht="15" customHeight="1">
      <c r="B65" s="78" t="s">
        <v>176</v>
      </c>
      <c r="C65" s="78"/>
      <c r="D65" s="78"/>
      <c r="E65" s="78"/>
      <c r="F65" s="78"/>
      <c r="G65" s="78"/>
      <c r="H65" s="78"/>
      <c r="I65" s="78"/>
      <c r="J65" s="78"/>
      <c r="K65" s="78"/>
    </row>
    <row r="66" spans="2:11">
      <c r="B66" s="78"/>
      <c r="C66" s="78"/>
      <c r="D66" s="78"/>
      <c r="E66" s="78"/>
      <c r="F66" s="78"/>
      <c r="G66" s="78"/>
      <c r="H66" s="78"/>
      <c r="I66" s="78"/>
      <c r="J66" s="78"/>
      <c r="K66" s="78"/>
    </row>
    <row r="68" spans="2:11">
      <c r="B68" s="25"/>
      <c r="C68" s="25"/>
      <c r="D68" s="25"/>
      <c r="E68" s="25"/>
      <c r="F68" s="25"/>
      <c r="G68" s="25"/>
      <c r="H68" s="25"/>
      <c r="I68" s="25"/>
      <c r="J68" s="25"/>
      <c r="K68" s="25"/>
    </row>
  </sheetData>
  <mergeCells count="57">
    <mergeCell ref="B65:K66"/>
    <mergeCell ref="B53:K54"/>
    <mergeCell ref="B56:K57"/>
    <mergeCell ref="B59:K60"/>
    <mergeCell ref="B62:K63"/>
    <mergeCell ref="F47:G47"/>
    <mergeCell ref="C51:D51"/>
    <mergeCell ref="F51:G51"/>
    <mergeCell ref="H51:I51"/>
    <mergeCell ref="J51:K51"/>
    <mergeCell ref="C47:D47"/>
    <mergeCell ref="I47:J47"/>
    <mergeCell ref="I48:J48"/>
    <mergeCell ref="I49:J49"/>
    <mergeCell ref="I46:J46"/>
    <mergeCell ref="C41:D41"/>
    <mergeCell ref="F41:G41"/>
    <mergeCell ref="C43:D43"/>
    <mergeCell ref="C44:D44"/>
    <mergeCell ref="C45:D45"/>
    <mergeCell ref="F43:G43"/>
    <mergeCell ref="F44:G44"/>
    <mergeCell ref="F45:G45"/>
    <mergeCell ref="F46:G46"/>
    <mergeCell ref="I41:K41"/>
    <mergeCell ref="I42:J42"/>
    <mergeCell ref="I43:J43"/>
    <mergeCell ref="I44:J44"/>
    <mergeCell ref="I45:J45"/>
    <mergeCell ref="F34:G34"/>
    <mergeCell ref="F33:G33"/>
    <mergeCell ref="F32:G32"/>
    <mergeCell ref="F31:G31"/>
    <mergeCell ref="C46:D46"/>
    <mergeCell ref="F30:G30"/>
    <mergeCell ref="C36:D36"/>
    <mergeCell ref="C37:D37"/>
    <mergeCell ref="C38:D38"/>
    <mergeCell ref="C39:D39"/>
    <mergeCell ref="F39:G39"/>
    <mergeCell ref="F38:G38"/>
    <mergeCell ref="F37:G37"/>
    <mergeCell ref="F36:G36"/>
    <mergeCell ref="C30:D30"/>
    <mergeCell ref="C31:D31"/>
    <mergeCell ref="C32:D32"/>
    <mergeCell ref="C33:D33"/>
    <mergeCell ref="C34:D34"/>
    <mergeCell ref="C35:D35"/>
    <mergeCell ref="F35:G35"/>
    <mergeCell ref="B2:K2"/>
    <mergeCell ref="C4:K4"/>
    <mergeCell ref="I6:K6"/>
    <mergeCell ref="I19:K19"/>
    <mergeCell ref="C28:D28"/>
    <mergeCell ref="F28:G28"/>
    <mergeCell ref="I28:K28"/>
  </mergeCells>
  <pageMargins left="0.7" right="0.7" top="0.75" bottom="0.75" header="0.3" footer="0.3"/>
  <pageSetup paperSize="9" scale="58" orientation="portrait" horizontalDpi="0" verticalDpi="0"/>
  <colBreaks count="1" manualBreakCount="1">
    <brk id="11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7EE22-6319-9D46-916A-44596F7B78CA}">
  <dimension ref="B2:M283"/>
  <sheetViews>
    <sheetView topLeftCell="E261" zoomScale="120" zoomScaleNormal="120" workbookViewId="0">
      <selection activeCell="J288" sqref="J288"/>
    </sheetView>
  </sheetViews>
  <sheetFormatPr baseColWidth="10" defaultRowHeight="15"/>
  <cols>
    <col min="10" max="10" width="68.6640625" bestFit="1" customWidth="1"/>
    <col min="11" max="11" width="17" bestFit="1" customWidth="1"/>
    <col min="12" max="12" width="13.83203125" bestFit="1" customWidth="1"/>
    <col min="13" max="13" width="17.1640625" bestFit="1" customWidth="1"/>
  </cols>
  <sheetData>
    <row r="2" spans="2:4">
      <c r="B2" s="37" t="s">
        <v>116</v>
      </c>
      <c r="C2" s="38" t="s">
        <v>117</v>
      </c>
      <c r="D2" s="43" t="s">
        <v>132</v>
      </c>
    </row>
    <row r="3" spans="2:4">
      <c r="B3" s="39">
        <v>44305</v>
      </c>
      <c r="C3" s="40">
        <v>161.43</v>
      </c>
      <c r="D3" s="44">
        <v>83.000342000000003</v>
      </c>
    </row>
    <row r="4" spans="2:4">
      <c r="B4" s="39">
        <v>44312</v>
      </c>
      <c r="C4" s="40">
        <v>159.27000000000001</v>
      </c>
      <c r="D4" s="44">
        <v>76.467228000000006</v>
      </c>
    </row>
    <row r="5" spans="2:4">
      <c r="B5" s="39">
        <v>44319</v>
      </c>
      <c r="C5" s="40">
        <v>161.43</v>
      </c>
      <c r="D5" s="44">
        <v>89.850009999999997</v>
      </c>
    </row>
    <row r="6" spans="2:4">
      <c r="B6" s="39">
        <v>44326</v>
      </c>
      <c r="C6" s="40">
        <v>166.85</v>
      </c>
      <c r="D6" s="44">
        <v>112.39581099999999</v>
      </c>
    </row>
    <row r="7" spans="2:4">
      <c r="B7" s="39">
        <v>44333</v>
      </c>
      <c r="C7" s="40">
        <v>164.34</v>
      </c>
      <c r="D7" s="44">
        <v>141.66260600000001</v>
      </c>
    </row>
    <row r="8" spans="2:4">
      <c r="B8" s="39">
        <v>44340</v>
      </c>
      <c r="C8" s="40">
        <v>167.36</v>
      </c>
      <c r="D8" s="44">
        <v>150.51021399999999</v>
      </c>
    </row>
    <row r="9" spans="2:4">
      <c r="B9" s="39">
        <v>44347</v>
      </c>
      <c r="C9" s="40">
        <v>164.1</v>
      </c>
      <c r="D9" s="44">
        <v>296.21835700000003</v>
      </c>
    </row>
    <row r="10" spans="2:4">
      <c r="B10" s="39">
        <v>44354</v>
      </c>
      <c r="C10" s="40">
        <v>163.43</v>
      </c>
      <c r="D10" s="44">
        <v>134.72259399999999</v>
      </c>
    </row>
    <row r="11" spans="2:4">
      <c r="B11" s="39">
        <v>44361</v>
      </c>
      <c r="C11" s="40">
        <v>165.45</v>
      </c>
      <c r="D11" s="44">
        <v>101.44285000000001</v>
      </c>
    </row>
    <row r="12" spans="2:4">
      <c r="B12" s="39">
        <v>44368</v>
      </c>
      <c r="C12" s="40">
        <v>165.85</v>
      </c>
      <c r="D12" s="44">
        <v>89.317359999999994</v>
      </c>
    </row>
    <row r="13" spans="2:4">
      <c r="B13" s="39">
        <v>44375</v>
      </c>
      <c r="C13" s="40">
        <v>163.71</v>
      </c>
      <c r="D13" s="44">
        <v>69.357819000000006</v>
      </c>
    </row>
    <row r="14" spans="2:4">
      <c r="B14" s="39">
        <v>44382</v>
      </c>
      <c r="C14" s="40">
        <v>162.86000000000001</v>
      </c>
      <c r="D14" s="44">
        <v>74.747388999999998</v>
      </c>
    </row>
    <row r="15" spans="2:4">
      <c r="B15" s="39">
        <v>44389</v>
      </c>
      <c r="C15" s="40">
        <v>168.16</v>
      </c>
      <c r="D15" s="44">
        <v>106.206874</v>
      </c>
    </row>
    <row r="16" spans="2:4">
      <c r="B16" s="39">
        <v>44396</v>
      </c>
      <c r="C16" s="40">
        <v>171.8</v>
      </c>
      <c r="D16" s="44">
        <v>106.925404</v>
      </c>
    </row>
    <row r="17" spans="2:4">
      <c r="B17" s="39">
        <v>44403</v>
      </c>
      <c r="C17" s="40">
        <v>165.77</v>
      </c>
      <c r="D17" s="44">
        <v>121.48694</v>
      </c>
    </row>
    <row r="18" spans="2:4">
      <c r="B18" s="39">
        <v>44410</v>
      </c>
      <c r="C18" s="40">
        <v>173.29</v>
      </c>
      <c r="D18" s="44">
        <v>114.133633</v>
      </c>
    </row>
    <row r="19" spans="2:4">
      <c r="B19" s="39">
        <v>44417</v>
      </c>
      <c r="C19" s="40">
        <v>171.03</v>
      </c>
      <c r="D19" s="44">
        <v>104.345478</v>
      </c>
    </row>
    <row r="20" spans="2:4">
      <c r="B20" s="39">
        <v>44424</v>
      </c>
      <c r="C20" s="40">
        <v>168.97</v>
      </c>
      <c r="D20" s="44">
        <v>51.100262000000001</v>
      </c>
    </row>
    <row r="21" spans="2:4">
      <c r="B21" s="39">
        <v>44431</v>
      </c>
      <c r="C21" s="40">
        <v>166.54</v>
      </c>
      <c r="D21" s="44">
        <v>60.572212999999998</v>
      </c>
    </row>
    <row r="22" spans="2:4">
      <c r="B22" s="39">
        <v>44438</v>
      </c>
      <c r="C22" s="40">
        <v>170.34</v>
      </c>
      <c r="D22" s="44">
        <v>81.715653000000003</v>
      </c>
    </row>
    <row r="23" spans="2:4">
      <c r="B23" s="39">
        <v>44445</v>
      </c>
      <c r="C23" s="40">
        <v>172</v>
      </c>
      <c r="D23" s="44">
        <v>87.657003000000003</v>
      </c>
    </row>
    <row r="24" spans="2:4">
      <c r="B24" s="39">
        <v>44452</v>
      </c>
      <c r="C24" s="40">
        <v>186.96</v>
      </c>
      <c r="D24" s="44">
        <v>295.618133</v>
      </c>
    </row>
    <row r="25" spans="2:4">
      <c r="B25" s="39">
        <v>44459</v>
      </c>
      <c r="C25" s="40">
        <v>192.87</v>
      </c>
      <c r="D25" s="44">
        <v>235.01450399999999</v>
      </c>
    </row>
    <row r="26" spans="2:4">
      <c r="B26" s="39">
        <v>44466</v>
      </c>
      <c r="C26" s="40">
        <v>190.36</v>
      </c>
      <c r="D26" s="44">
        <v>89.694888000000006</v>
      </c>
    </row>
    <row r="27" spans="2:4">
      <c r="B27" s="39">
        <v>44473</v>
      </c>
      <c r="C27" s="40">
        <v>187.41</v>
      </c>
      <c r="D27" s="44">
        <v>59.741584000000003</v>
      </c>
    </row>
    <row r="28" spans="2:4">
      <c r="B28" s="39">
        <v>44480</v>
      </c>
      <c r="C28" s="40">
        <v>207.51</v>
      </c>
      <c r="D28" s="44">
        <v>193.135358</v>
      </c>
    </row>
    <row r="29" spans="2:4">
      <c r="B29" s="39">
        <v>44487</v>
      </c>
      <c r="C29" s="40">
        <v>191.37</v>
      </c>
      <c r="D29" s="44">
        <v>233.907095</v>
      </c>
    </row>
    <row r="30" spans="2:4">
      <c r="B30" s="39">
        <v>44494</v>
      </c>
      <c r="C30" s="40">
        <v>180.53</v>
      </c>
      <c r="D30" s="44">
        <v>145.49999</v>
      </c>
    </row>
    <row r="31" spans="2:4">
      <c r="B31" s="39">
        <v>44501</v>
      </c>
      <c r="C31" s="40">
        <v>183.24</v>
      </c>
      <c r="D31" s="44">
        <v>64.813096999999999</v>
      </c>
    </row>
    <row r="32" spans="2:4">
      <c r="B32" s="39">
        <v>44508</v>
      </c>
      <c r="C32" s="40">
        <v>188.38</v>
      </c>
      <c r="D32" s="44">
        <v>67.724521999999993</v>
      </c>
    </row>
    <row r="33" spans="2:4">
      <c r="B33" s="39">
        <v>44515</v>
      </c>
      <c r="C33" s="40">
        <v>192.1</v>
      </c>
      <c r="D33" s="44">
        <v>124.990364</v>
      </c>
    </row>
    <row r="34" spans="2:4">
      <c r="B34" s="39">
        <v>44522</v>
      </c>
      <c r="C34" s="40">
        <v>181.18</v>
      </c>
      <c r="D34" s="44">
        <v>104.9722</v>
      </c>
    </row>
    <row r="35" spans="2:4">
      <c r="B35" s="39">
        <v>44529</v>
      </c>
      <c r="C35" s="40">
        <v>179.28</v>
      </c>
      <c r="D35" s="44">
        <v>91.733615</v>
      </c>
    </row>
    <row r="36" spans="2:4">
      <c r="B36" s="39">
        <v>44536</v>
      </c>
      <c r="C36" s="40">
        <v>190.97</v>
      </c>
      <c r="D36" s="44">
        <v>109.364552</v>
      </c>
    </row>
    <row r="37" spans="2:4">
      <c r="B37" s="39">
        <v>44543</v>
      </c>
      <c r="C37" s="40">
        <v>176.29</v>
      </c>
      <c r="D37" s="44">
        <v>153.80275</v>
      </c>
    </row>
    <row r="38" spans="2:4">
      <c r="B38" s="39">
        <v>44550</v>
      </c>
      <c r="C38" s="40">
        <v>176.33</v>
      </c>
      <c r="D38" s="44">
        <v>117.11018199999999</v>
      </c>
    </row>
    <row r="39" spans="2:4">
      <c r="B39" s="39">
        <v>44557</v>
      </c>
      <c r="C39" s="40">
        <v>176.37</v>
      </c>
      <c r="D39" s="44">
        <v>50.396827000000002</v>
      </c>
    </row>
    <row r="40" spans="2:4">
      <c r="B40" s="39">
        <v>44564</v>
      </c>
      <c r="C40" s="40">
        <v>176.65</v>
      </c>
      <c r="D40" s="44">
        <v>47.617860999999998</v>
      </c>
    </row>
    <row r="41" spans="2:4">
      <c r="B41" s="39">
        <v>44571</v>
      </c>
      <c r="C41" s="40">
        <v>180.05</v>
      </c>
      <c r="D41" s="44">
        <v>61.367497</v>
      </c>
    </row>
    <row r="42" spans="2:4">
      <c r="B42" s="39">
        <v>44578</v>
      </c>
      <c r="C42" s="40">
        <v>175.56</v>
      </c>
      <c r="D42" s="44">
        <v>74.879242000000005</v>
      </c>
    </row>
    <row r="43" spans="2:4">
      <c r="B43" s="39">
        <v>44585</v>
      </c>
      <c r="C43" s="40">
        <v>176</v>
      </c>
      <c r="D43" s="44">
        <v>76.958538000000004</v>
      </c>
    </row>
    <row r="44" spans="2:4">
      <c r="B44" s="39">
        <v>44592</v>
      </c>
      <c r="C44" s="40">
        <v>189.51</v>
      </c>
      <c r="D44" s="44">
        <v>191.01227399999999</v>
      </c>
    </row>
    <row r="45" spans="2:4">
      <c r="B45" s="39">
        <v>44599</v>
      </c>
      <c r="C45" s="40">
        <v>188.02</v>
      </c>
      <c r="D45" s="44">
        <v>93.38964</v>
      </c>
    </row>
    <row r="46" spans="2:4">
      <c r="B46" s="39">
        <v>44606</v>
      </c>
      <c r="C46" s="40">
        <v>179.48</v>
      </c>
      <c r="D46" s="44">
        <v>72.225701000000001</v>
      </c>
    </row>
    <row r="47" spans="2:4">
      <c r="B47" s="39">
        <v>44613</v>
      </c>
      <c r="C47" s="40">
        <v>177.21</v>
      </c>
      <c r="D47" s="44">
        <v>122.40725999999999</v>
      </c>
    </row>
    <row r="48" spans="2:4">
      <c r="B48" s="39">
        <v>44620</v>
      </c>
      <c r="C48" s="40">
        <v>186.77</v>
      </c>
      <c r="D48" s="44">
        <v>139.88669200000001</v>
      </c>
    </row>
    <row r="49" spans="2:4">
      <c r="B49" s="39">
        <v>44627</v>
      </c>
      <c r="C49" s="40">
        <v>195.76</v>
      </c>
      <c r="D49" s="44">
        <v>209.17867799999999</v>
      </c>
    </row>
    <row r="50" spans="2:4">
      <c r="B50" s="39">
        <v>44634</v>
      </c>
      <c r="C50" s="40">
        <v>202.84</v>
      </c>
      <c r="D50" s="44">
        <v>128.739473</v>
      </c>
    </row>
    <row r="51" spans="2:4">
      <c r="B51" s="39">
        <v>44641</v>
      </c>
      <c r="C51" s="40">
        <v>209.84</v>
      </c>
      <c r="D51" s="44">
        <v>179.59654699999999</v>
      </c>
    </row>
    <row r="52" spans="2:4">
      <c r="B52" s="39">
        <v>44648</v>
      </c>
      <c r="C52" s="40">
        <v>209.8</v>
      </c>
      <c r="D52" s="44">
        <v>104.480064</v>
      </c>
    </row>
    <row r="53" spans="2:4">
      <c r="B53" s="39">
        <v>44655</v>
      </c>
      <c r="C53" s="40">
        <v>221.81</v>
      </c>
      <c r="D53" s="44">
        <v>121.066073</v>
      </c>
    </row>
    <row r="54" spans="2:4">
      <c r="B54" s="39">
        <v>44662</v>
      </c>
      <c r="C54" s="40">
        <v>223.26</v>
      </c>
      <c r="D54" s="44">
        <v>94.624939999999995</v>
      </c>
    </row>
    <row r="55" spans="2:4">
      <c r="B55" s="39">
        <v>44669</v>
      </c>
      <c r="C55" s="40">
        <v>216.26</v>
      </c>
      <c r="D55" s="44">
        <v>115.66308100000001</v>
      </c>
    </row>
    <row r="56" spans="2:4">
      <c r="B56" s="39">
        <v>44676</v>
      </c>
      <c r="C56" s="40">
        <v>214.98</v>
      </c>
      <c r="D56" s="44">
        <v>113.89420699999999</v>
      </c>
    </row>
    <row r="57" spans="2:4">
      <c r="B57" s="39">
        <v>44683</v>
      </c>
      <c r="C57" s="40">
        <v>220.86</v>
      </c>
      <c r="D57" s="44">
        <v>101.08972300000001</v>
      </c>
    </row>
    <row r="58" spans="2:4">
      <c r="B58" s="39">
        <v>44690</v>
      </c>
      <c r="C58" s="40">
        <v>214.19</v>
      </c>
      <c r="D58" s="44">
        <v>92.165349000000006</v>
      </c>
    </row>
    <row r="59" spans="2:4">
      <c r="B59" s="39">
        <v>44697</v>
      </c>
      <c r="C59" s="40">
        <v>231.92</v>
      </c>
      <c r="D59" s="44">
        <v>162.88416599999999</v>
      </c>
    </row>
    <row r="60" spans="2:4">
      <c r="B60" s="39">
        <v>44704</v>
      </c>
      <c r="C60" s="40">
        <v>222.97</v>
      </c>
      <c r="D60" s="44">
        <v>87.676463999999996</v>
      </c>
    </row>
    <row r="61" spans="2:4">
      <c r="B61" s="39">
        <v>44711</v>
      </c>
      <c r="C61" s="40">
        <v>231.38</v>
      </c>
      <c r="D61" s="44">
        <v>79.400647000000006</v>
      </c>
    </row>
    <row r="62" spans="2:4">
      <c r="B62" s="39">
        <v>44718</v>
      </c>
      <c r="C62" s="40">
        <v>229.21</v>
      </c>
      <c r="D62" s="44">
        <v>56.440005999999997</v>
      </c>
    </row>
    <row r="63" spans="2:4">
      <c r="B63" s="39">
        <v>44725</v>
      </c>
      <c r="C63" s="40">
        <v>223.4</v>
      </c>
      <c r="D63" s="44">
        <v>56.622191000000001</v>
      </c>
    </row>
    <row r="64" spans="2:4">
      <c r="B64" s="39">
        <v>44732</v>
      </c>
      <c r="C64" s="40">
        <v>225.56</v>
      </c>
      <c r="D64" s="44">
        <v>60.613298999999998</v>
      </c>
    </row>
    <row r="65" spans="2:4">
      <c r="B65" s="39">
        <v>44739</v>
      </c>
      <c r="C65" s="40">
        <v>241.26</v>
      </c>
      <c r="D65" s="44">
        <v>93.320035000000004</v>
      </c>
    </row>
    <row r="66" spans="2:4">
      <c r="B66" s="39">
        <v>44746</v>
      </c>
      <c r="C66" s="40">
        <v>248.64</v>
      </c>
      <c r="D66" s="44">
        <v>105.56352</v>
      </c>
    </row>
    <row r="67" spans="2:4">
      <c r="B67" s="39">
        <v>44753</v>
      </c>
      <c r="C67" s="40">
        <v>249.07</v>
      </c>
      <c r="D67" s="44">
        <v>62.460991999999997</v>
      </c>
    </row>
    <row r="68" spans="2:4">
      <c r="B68" s="39">
        <v>44760</v>
      </c>
      <c r="C68" s="40">
        <v>255.01</v>
      </c>
      <c r="D68" s="44">
        <v>64.703470999999993</v>
      </c>
    </row>
    <row r="69" spans="2:4">
      <c r="B69" s="39">
        <v>44767</v>
      </c>
      <c r="C69" s="40">
        <v>257.13</v>
      </c>
      <c r="D69" s="44">
        <v>59.712276000000003</v>
      </c>
    </row>
    <row r="70" spans="2:4">
      <c r="B70" s="39">
        <v>44774</v>
      </c>
      <c r="C70" s="40">
        <v>263.74</v>
      </c>
      <c r="D70" s="44">
        <v>102.35374299999999</v>
      </c>
    </row>
    <row r="71" spans="2:4">
      <c r="B71" s="39">
        <v>44781</v>
      </c>
      <c r="C71" s="40">
        <v>261.79000000000002</v>
      </c>
      <c r="D71" s="44">
        <v>35.869408</v>
      </c>
    </row>
    <row r="72" spans="2:4">
      <c r="B72" s="39">
        <v>44788</v>
      </c>
      <c r="C72" s="40">
        <v>264.72000000000003</v>
      </c>
      <c r="D72" s="44">
        <v>38.312801</v>
      </c>
    </row>
    <row r="73" spans="2:4">
      <c r="B73" s="39">
        <v>44795</v>
      </c>
      <c r="C73" s="40">
        <v>265.48</v>
      </c>
      <c r="D73" s="44">
        <v>48.558070000000001</v>
      </c>
    </row>
    <row r="74" spans="2:4">
      <c r="B74" s="39">
        <v>44802</v>
      </c>
      <c r="C74" s="40">
        <v>274.18</v>
      </c>
      <c r="D74" s="44">
        <v>70.831436999999994</v>
      </c>
    </row>
    <row r="75" spans="2:4">
      <c r="B75" s="39">
        <v>44809</v>
      </c>
      <c r="C75" s="40">
        <v>280.42</v>
      </c>
      <c r="D75" s="44">
        <v>60.075595</v>
      </c>
    </row>
    <row r="76" spans="2:4">
      <c r="B76" s="39">
        <v>44816</v>
      </c>
      <c r="C76" s="40">
        <v>281.10000000000002</v>
      </c>
      <c r="D76" s="44">
        <v>54.429963000000001</v>
      </c>
    </row>
    <row r="77" spans="2:4">
      <c r="B77" s="39">
        <v>44823</v>
      </c>
      <c r="C77" s="40">
        <v>293.91000000000003</v>
      </c>
      <c r="D77" s="44">
        <v>95.441835999999995</v>
      </c>
    </row>
    <row r="78" spans="2:4">
      <c r="B78" s="39">
        <v>44830</v>
      </c>
      <c r="C78" s="40">
        <v>281.86</v>
      </c>
      <c r="D78" s="44">
        <v>75.249619999999993</v>
      </c>
    </row>
    <row r="79" spans="2:4">
      <c r="B79" s="39">
        <v>44837</v>
      </c>
      <c r="C79" s="40">
        <v>283.47000000000003</v>
      </c>
      <c r="D79" s="44">
        <v>52.606616000000002</v>
      </c>
    </row>
    <row r="80" spans="2:4">
      <c r="B80" s="39">
        <v>44844</v>
      </c>
      <c r="C80" s="40">
        <v>281.77</v>
      </c>
      <c r="D80" s="44">
        <v>45.723787999999999</v>
      </c>
    </row>
    <row r="81" spans="2:4">
      <c r="B81" s="39">
        <v>44851</v>
      </c>
      <c r="C81" s="40">
        <v>293.23</v>
      </c>
      <c r="D81" s="44">
        <v>93.424030999999999</v>
      </c>
    </row>
    <row r="82" spans="2:4">
      <c r="B82" s="39">
        <v>44858</v>
      </c>
      <c r="C82" s="40">
        <v>293.39999999999998</v>
      </c>
      <c r="D82" s="44">
        <v>54.044773999999997</v>
      </c>
    </row>
    <row r="83" spans="2:4">
      <c r="B83" s="39">
        <v>44865</v>
      </c>
      <c r="C83" s="40">
        <v>300.02</v>
      </c>
      <c r="D83" s="44">
        <v>72.068314000000001</v>
      </c>
    </row>
    <row r="84" spans="2:4">
      <c r="B84" s="39">
        <v>44872</v>
      </c>
      <c r="C84" s="40">
        <v>302.35000000000002</v>
      </c>
      <c r="D84" s="44">
        <v>63.286881999999999</v>
      </c>
    </row>
    <row r="85" spans="2:4">
      <c r="B85" s="39">
        <v>44879</v>
      </c>
      <c r="C85" s="40">
        <v>289.37</v>
      </c>
      <c r="D85" s="44">
        <v>60.782908999999997</v>
      </c>
    </row>
    <row r="86" spans="2:4">
      <c r="B86" s="39">
        <v>44886</v>
      </c>
      <c r="C86" s="40">
        <v>288.73</v>
      </c>
      <c r="D86" s="44">
        <v>40.021239000000001</v>
      </c>
    </row>
    <row r="87" spans="2:4">
      <c r="B87" s="39">
        <v>44893</v>
      </c>
      <c r="C87" s="40">
        <v>286.06</v>
      </c>
      <c r="D87" s="44">
        <v>70.274456999999998</v>
      </c>
    </row>
    <row r="88" spans="2:4">
      <c r="B88" s="39">
        <v>44900</v>
      </c>
      <c r="C88" s="40">
        <v>289.67</v>
      </c>
      <c r="D88" s="44">
        <v>41.737527</v>
      </c>
    </row>
    <row r="89" spans="2:4">
      <c r="B89" s="39">
        <v>44907</v>
      </c>
      <c r="C89" s="40">
        <v>284.32</v>
      </c>
      <c r="D89" s="44">
        <v>51.792901000000001</v>
      </c>
    </row>
    <row r="90" spans="2:4">
      <c r="B90" s="39">
        <v>44914</v>
      </c>
      <c r="C90" s="40">
        <v>277.19</v>
      </c>
      <c r="D90" s="44">
        <v>38.423470999999999</v>
      </c>
    </row>
    <row r="91" spans="2:4">
      <c r="B91" s="39">
        <v>44921</v>
      </c>
      <c r="C91" s="40">
        <v>281.31</v>
      </c>
      <c r="D91" s="44">
        <v>40.602468000000002</v>
      </c>
    </row>
    <row r="92" spans="2:4">
      <c r="B92" s="39">
        <v>44928</v>
      </c>
      <c r="C92" s="40">
        <v>284.27999999999997</v>
      </c>
      <c r="D92" s="44">
        <v>36.445869000000002</v>
      </c>
    </row>
    <row r="93" spans="2:4">
      <c r="B93" s="39">
        <v>44935</v>
      </c>
      <c r="C93" s="40">
        <v>278.93</v>
      </c>
      <c r="D93" s="44">
        <v>44.867682000000002</v>
      </c>
    </row>
    <row r="94" spans="2:4">
      <c r="B94" s="39">
        <v>44942</v>
      </c>
      <c r="C94" s="40">
        <v>283.89999999999998</v>
      </c>
      <c r="D94" s="44">
        <v>58.12744</v>
      </c>
    </row>
    <row r="95" spans="2:4">
      <c r="B95" s="39">
        <v>44949</v>
      </c>
      <c r="C95" s="40">
        <v>293.57</v>
      </c>
      <c r="D95" s="44">
        <v>55.005214000000002</v>
      </c>
    </row>
    <row r="96" spans="2:4">
      <c r="B96" s="39">
        <v>44956</v>
      </c>
      <c r="C96" s="40">
        <v>322.97000000000003</v>
      </c>
      <c r="D96" s="44">
        <v>180.47825700000001</v>
      </c>
    </row>
    <row r="97" spans="2:4">
      <c r="B97" s="39">
        <v>44963</v>
      </c>
      <c r="C97" s="40">
        <v>315.08</v>
      </c>
      <c r="D97" s="44">
        <v>82.036413999999994</v>
      </c>
    </row>
    <row r="98" spans="2:4">
      <c r="B98" s="39">
        <v>44970</v>
      </c>
      <c r="C98" s="40">
        <v>325.3</v>
      </c>
      <c r="D98" s="44">
        <v>71.328148999999996</v>
      </c>
    </row>
    <row r="99" spans="2:4">
      <c r="B99" s="39">
        <v>44977</v>
      </c>
      <c r="C99" s="40">
        <v>332.1</v>
      </c>
      <c r="D99" s="44">
        <v>58.952682000000003</v>
      </c>
    </row>
    <row r="100" spans="2:4">
      <c r="B100" s="39">
        <v>44984</v>
      </c>
      <c r="C100" s="40">
        <v>331.97</v>
      </c>
      <c r="D100" s="44">
        <v>47.228219000000003</v>
      </c>
    </row>
    <row r="101" spans="2:4">
      <c r="B101" s="39">
        <v>44991</v>
      </c>
      <c r="C101" s="40">
        <v>334.6</v>
      </c>
      <c r="D101" s="44">
        <v>39.077773999999998</v>
      </c>
    </row>
    <row r="102" spans="2:4">
      <c r="B102" s="39">
        <v>44998</v>
      </c>
      <c r="C102" s="40">
        <v>323.86</v>
      </c>
      <c r="D102" s="44">
        <v>95.605169000000004</v>
      </c>
    </row>
    <row r="103" spans="2:4">
      <c r="B103" s="39">
        <v>45005</v>
      </c>
      <c r="C103" s="40">
        <v>326.58</v>
      </c>
      <c r="D103" s="44">
        <v>47.973787000000002</v>
      </c>
    </row>
    <row r="104" spans="2:4">
      <c r="B104" s="39">
        <v>45012</v>
      </c>
      <c r="C104" s="40">
        <v>330.72</v>
      </c>
      <c r="D104" s="44">
        <v>41.185760000000002</v>
      </c>
    </row>
    <row r="105" spans="2:4">
      <c r="B105" s="39">
        <v>45019</v>
      </c>
      <c r="C105" s="40">
        <v>334.04</v>
      </c>
      <c r="D105" s="44">
        <v>32.780963</v>
      </c>
    </row>
    <row r="106" spans="2:4">
      <c r="B106" s="39">
        <v>45026</v>
      </c>
      <c r="C106" s="40">
        <v>341.15</v>
      </c>
      <c r="D106" s="44">
        <v>42.399411999999998</v>
      </c>
    </row>
    <row r="107" spans="2:4">
      <c r="B107" s="39">
        <v>45033</v>
      </c>
      <c r="C107" s="40">
        <v>352.06</v>
      </c>
      <c r="D107" s="44">
        <v>53.171937999999997</v>
      </c>
    </row>
    <row r="108" spans="2:4">
      <c r="B108" s="39">
        <v>45040</v>
      </c>
      <c r="C108" s="40">
        <v>366.98</v>
      </c>
      <c r="D108" s="44">
        <v>49.615637</v>
      </c>
    </row>
    <row r="109" spans="2:4">
      <c r="B109" s="39">
        <v>45047</v>
      </c>
      <c r="C109" s="40">
        <v>369.74</v>
      </c>
      <c r="D109" s="44">
        <v>39.438941</v>
      </c>
    </row>
    <row r="110" spans="2:4">
      <c r="B110" s="39">
        <v>45054</v>
      </c>
      <c r="C110" s="40">
        <v>362.58</v>
      </c>
      <c r="D110" s="44">
        <v>56.193313000000003</v>
      </c>
    </row>
    <row r="111" spans="2:4">
      <c r="B111" s="39">
        <v>45061</v>
      </c>
      <c r="C111" s="40">
        <v>362.07</v>
      </c>
      <c r="D111" s="44">
        <v>79.329593000000003</v>
      </c>
    </row>
    <row r="112" spans="2:4">
      <c r="B112" s="39">
        <v>45068</v>
      </c>
      <c r="C112" s="40">
        <v>382.55</v>
      </c>
      <c r="D112" s="44">
        <v>69.408145000000005</v>
      </c>
    </row>
    <row r="113" spans="2:4">
      <c r="B113" s="39">
        <v>45075</v>
      </c>
      <c r="C113" s="40">
        <v>382.37</v>
      </c>
      <c r="D113" s="44">
        <v>73.740160000000003</v>
      </c>
    </row>
    <row r="114" spans="2:4">
      <c r="B114" s="39">
        <v>45082</v>
      </c>
      <c r="C114" s="40">
        <v>386.6</v>
      </c>
      <c r="D114" s="44">
        <v>36.589264999999997</v>
      </c>
    </row>
    <row r="115" spans="2:4">
      <c r="B115" s="39">
        <v>45089</v>
      </c>
      <c r="C115" s="40">
        <v>399.52</v>
      </c>
      <c r="D115" s="44">
        <v>54.795706000000003</v>
      </c>
    </row>
    <row r="116" spans="2:4">
      <c r="B116" s="39">
        <v>45096</v>
      </c>
      <c r="C116" s="40">
        <v>392.15</v>
      </c>
      <c r="D116" s="44">
        <v>28.505935000000001</v>
      </c>
    </row>
    <row r="117" spans="2:4">
      <c r="B117" s="39">
        <v>45103</v>
      </c>
      <c r="C117" s="40">
        <v>398.19</v>
      </c>
      <c r="D117" s="44">
        <v>32.746142999999996</v>
      </c>
    </row>
    <row r="118" spans="2:4">
      <c r="B118" s="39">
        <v>45110</v>
      </c>
      <c r="C118" s="40">
        <v>413.01</v>
      </c>
      <c r="D118" s="44">
        <v>53.454050000000002</v>
      </c>
    </row>
    <row r="119" spans="2:4">
      <c r="B119" s="39">
        <v>45117</v>
      </c>
      <c r="C119" s="40">
        <v>416.97</v>
      </c>
      <c r="D119" s="44">
        <v>41.863430999999999</v>
      </c>
    </row>
    <row r="120" spans="2:4">
      <c r="B120" s="39">
        <v>45124</v>
      </c>
      <c r="C120" s="40">
        <v>432.45</v>
      </c>
      <c r="D120" s="44">
        <v>61.825305999999998</v>
      </c>
    </row>
    <row r="121" spans="2:4">
      <c r="B121" s="39">
        <v>45131</v>
      </c>
      <c r="C121" s="40">
        <v>413.05</v>
      </c>
      <c r="D121" s="44">
        <v>129.42223200000001</v>
      </c>
    </row>
    <row r="122" spans="2:4">
      <c r="B122" s="39">
        <v>45138</v>
      </c>
      <c r="C122" s="40">
        <v>401.15</v>
      </c>
      <c r="D122" s="44">
        <v>44.036622000000001</v>
      </c>
    </row>
    <row r="123" spans="2:4">
      <c r="B123" s="39">
        <v>45145</v>
      </c>
      <c r="C123" s="40">
        <v>395.68</v>
      </c>
      <c r="D123" s="44">
        <v>52.017513000000001</v>
      </c>
    </row>
    <row r="124" spans="2:4">
      <c r="B124" s="39">
        <v>45152</v>
      </c>
      <c r="C124" s="40">
        <v>389.42</v>
      </c>
      <c r="D124" s="44">
        <v>60.313625000000002</v>
      </c>
    </row>
    <row r="125" spans="2:4">
      <c r="B125" s="39">
        <v>45159</v>
      </c>
      <c r="C125" s="40">
        <v>390.92</v>
      </c>
      <c r="D125" s="44">
        <v>44.896241000000003</v>
      </c>
    </row>
    <row r="126" spans="2:4">
      <c r="B126" s="39">
        <v>45166</v>
      </c>
      <c r="C126" s="40">
        <v>388.89</v>
      </c>
      <c r="D126" s="44">
        <v>57.216468999999996</v>
      </c>
    </row>
    <row r="127" spans="2:4">
      <c r="B127" s="39">
        <v>45173</v>
      </c>
      <c r="C127" s="40">
        <v>390.3</v>
      </c>
      <c r="D127" s="44">
        <v>54.912877000000002</v>
      </c>
    </row>
    <row r="128" spans="2:4">
      <c r="B128" s="39">
        <v>45180</v>
      </c>
      <c r="C128" s="40">
        <v>395.33</v>
      </c>
      <c r="D128" s="44">
        <v>67.553455</v>
      </c>
    </row>
    <row r="129" spans="2:4">
      <c r="B129" s="39">
        <v>45187</v>
      </c>
      <c r="C129" s="40">
        <v>390.7</v>
      </c>
      <c r="D129" s="44">
        <v>37.784063000000003</v>
      </c>
    </row>
    <row r="130" spans="2:4">
      <c r="B130" s="39">
        <v>45194</v>
      </c>
      <c r="C130" s="40">
        <v>391.84</v>
      </c>
      <c r="D130" s="44">
        <v>41.518051999999997</v>
      </c>
    </row>
    <row r="131" spans="2:4">
      <c r="B131" s="39">
        <v>45201</v>
      </c>
      <c r="C131" s="40">
        <v>389.86</v>
      </c>
      <c r="D131" s="44">
        <v>40.842044000000001</v>
      </c>
    </row>
    <row r="132" spans="2:4">
      <c r="B132" s="39">
        <v>45208</v>
      </c>
      <c r="C132" s="40">
        <v>395.33</v>
      </c>
      <c r="D132" s="44">
        <v>39.135731</v>
      </c>
    </row>
    <row r="133" spans="2:4">
      <c r="B133" s="39">
        <v>45215</v>
      </c>
      <c r="C133" s="40">
        <v>386.47</v>
      </c>
      <c r="D133" s="44">
        <v>42.092962</v>
      </c>
    </row>
    <row r="134" spans="2:4">
      <c r="B134" s="39">
        <v>45222</v>
      </c>
      <c r="C134" s="40">
        <v>382.45</v>
      </c>
      <c r="D134" s="44">
        <v>52.027830999999999</v>
      </c>
    </row>
    <row r="135" spans="2:4">
      <c r="B135" s="39">
        <v>45229</v>
      </c>
      <c r="C135" s="40">
        <v>382.01</v>
      </c>
      <c r="D135" s="44">
        <v>47.961708999999999</v>
      </c>
    </row>
    <row r="136" spans="2:4">
      <c r="B136" s="39">
        <v>45236</v>
      </c>
      <c r="C136" s="40">
        <v>384.92</v>
      </c>
      <c r="D136" s="44">
        <v>32.481633000000002</v>
      </c>
    </row>
    <row r="137" spans="2:4">
      <c r="B137" s="39">
        <v>45243</v>
      </c>
      <c r="C137" s="40">
        <v>387.3</v>
      </c>
      <c r="D137" s="44">
        <v>29.799424999999999</v>
      </c>
    </row>
    <row r="138" spans="2:4">
      <c r="B138" s="39">
        <v>45250</v>
      </c>
      <c r="C138" s="40">
        <v>386.03</v>
      </c>
      <c r="D138" s="44">
        <v>29.502457</v>
      </c>
    </row>
    <row r="139" spans="2:4">
      <c r="B139" s="39">
        <v>45257</v>
      </c>
      <c r="C139" s="40">
        <v>396.61</v>
      </c>
      <c r="D139" s="44">
        <v>59.190325000000001</v>
      </c>
    </row>
    <row r="140" spans="2:4">
      <c r="B140" s="39">
        <v>45264</v>
      </c>
      <c r="C140" s="40">
        <v>396.03</v>
      </c>
      <c r="D140" s="44">
        <v>78.234177000000003</v>
      </c>
    </row>
    <row r="141" spans="2:4">
      <c r="B141" s="39">
        <v>45271</v>
      </c>
      <c r="C141" s="40">
        <v>404.01</v>
      </c>
      <c r="D141" s="44">
        <v>60.444142999999997</v>
      </c>
    </row>
    <row r="142" spans="2:4">
      <c r="B142" s="39">
        <v>45278</v>
      </c>
      <c r="C142" s="40">
        <v>401.37</v>
      </c>
      <c r="D142" s="44">
        <v>56.957223999999997</v>
      </c>
    </row>
    <row r="143" spans="2:4">
      <c r="B143" s="39">
        <v>45285</v>
      </c>
      <c r="C143" s="40">
        <v>407.45</v>
      </c>
      <c r="D143" s="44">
        <v>48.809123</v>
      </c>
    </row>
    <row r="144" spans="2:4">
      <c r="B144" s="39">
        <v>45292</v>
      </c>
      <c r="C144" s="40">
        <v>417.9</v>
      </c>
      <c r="D144" s="44">
        <v>67.397853999999995</v>
      </c>
    </row>
    <row r="145" spans="2:4">
      <c r="B145" s="39">
        <v>45299</v>
      </c>
      <c r="C145" s="40">
        <v>411.51</v>
      </c>
      <c r="D145" s="44">
        <v>36.851819999999996</v>
      </c>
    </row>
    <row r="146" spans="2:4">
      <c r="B146" s="39">
        <v>45306</v>
      </c>
      <c r="C146" s="40">
        <v>415.74</v>
      </c>
      <c r="D146" s="44">
        <v>53.404809</v>
      </c>
    </row>
    <row r="147" spans="2:4">
      <c r="B147" s="39">
        <v>45313</v>
      </c>
      <c r="C147" s="40">
        <v>401.76</v>
      </c>
      <c r="D147" s="44">
        <v>51.622815000000003</v>
      </c>
    </row>
    <row r="148" spans="2:4">
      <c r="B148" s="39">
        <v>45320</v>
      </c>
      <c r="C148" s="40">
        <v>388.05</v>
      </c>
      <c r="D148" s="44">
        <v>122.116636</v>
      </c>
    </row>
    <row r="149" spans="2:4">
      <c r="B149" s="39">
        <v>45327</v>
      </c>
      <c r="C149" s="40">
        <v>366.36</v>
      </c>
      <c r="D149" s="44">
        <v>128.93651600000001</v>
      </c>
    </row>
    <row r="150" spans="2:4">
      <c r="B150" s="39">
        <v>45334</v>
      </c>
      <c r="C150" s="40">
        <v>362.2</v>
      </c>
      <c r="D150" s="44">
        <v>100.28559</v>
      </c>
    </row>
    <row r="151" spans="2:4">
      <c r="B151" s="39">
        <v>45341</v>
      </c>
      <c r="C151" s="40">
        <v>368.28</v>
      </c>
      <c r="D151" s="44">
        <v>83.289736000000005</v>
      </c>
    </row>
    <row r="152" spans="2:4">
      <c r="B152" s="39">
        <v>45348</v>
      </c>
      <c r="C152" s="40">
        <v>366.58</v>
      </c>
      <c r="D152" s="44">
        <v>53.664566999999998</v>
      </c>
    </row>
    <row r="153" spans="2:4">
      <c r="B153" s="39">
        <v>45355</v>
      </c>
      <c r="C153" s="40">
        <v>370.21</v>
      </c>
      <c r="D153" s="44">
        <v>52.653914999999998</v>
      </c>
    </row>
    <row r="154" spans="2:4">
      <c r="B154" s="39">
        <v>45362</v>
      </c>
      <c r="C154" s="40">
        <v>375.18</v>
      </c>
      <c r="D154" s="44">
        <v>268.07512800000001</v>
      </c>
    </row>
    <row r="155" spans="2:4">
      <c r="B155" s="39">
        <v>45369</v>
      </c>
      <c r="C155" s="40">
        <v>383.68</v>
      </c>
      <c r="D155" s="44">
        <v>119.04203</v>
      </c>
    </row>
    <row r="156" spans="2:4">
      <c r="B156" s="39">
        <v>45376</v>
      </c>
      <c r="C156" s="40">
        <v>383.46</v>
      </c>
      <c r="D156" s="44">
        <v>52.377299000000001</v>
      </c>
    </row>
    <row r="157" spans="2:4">
      <c r="B157" s="39">
        <v>45383</v>
      </c>
      <c r="C157" s="40">
        <v>382.74</v>
      </c>
      <c r="D157" s="44">
        <v>67.924924000000004</v>
      </c>
    </row>
    <row r="158" spans="2:4">
      <c r="B158" s="39">
        <v>45390</v>
      </c>
      <c r="C158" s="40">
        <v>385.02</v>
      </c>
      <c r="D158" s="44">
        <v>49.144533000000003</v>
      </c>
    </row>
    <row r="159" spans="2:4">
      <c r="B159" s="39">
        <v>45397</v>
      </c>
      <c r="C159" s="40">
        <v>380.23</v>
      </c>
      <c r="D159" s="44">
        <v>58.795310000000001</v>
      </c>
    </row>
    <row r="160" spans="2:4">
      <c r="B160" s="39">
        <v>45404</v>
      </c>
      <c r="C160" s="40">
        <v>393.89</v>
      </c>
      <c r="D160" s="44">
        <v>71.620720000000006</v>
      </c>
    </row>
    <row r="161" spans="2:4">
      <c r="B161" s="39">
        <v>45411</v>
      </c>
      <c r="C161" s="40">
        <v>390.71</v>
      </c>
      <c r="D161" s="44">
        <v>72.514281999999994</v>
      </c>
    </row>
    <row r="162" spans="2:4">
      <c r="B162" s="39">
        <v>45418</v>
      </c>
      <c r="C162" s="40">
        <v>387.93</v>
      </c>
      <c r="D162" s="44">
        <v>87.478305000000006</v>
      </c>
    </row>
    <row r="163" spans="2:4">
      <c r="B163" s="39">
        <v>45425</v>
      </c>
      <c r="C163" s="40">
        <v>390.89</v>
      </c>
      <c r="D163" s="44">
        <v>63.412534000000001</v>
      </c>
    </row>
    <row r="164" spans="2:4">
      <c r="B164" s="39">
        <v>45432</v>
      </c>
      <c r="C164" s="40">
        <v>390.48</v>
      </c>
      <c r="D164" s="44">
        <v>62.709719</v>
      </c>
    </row>
    <row r="165" spans="2:4">
      <c r="B165" s="39">
        <v>45439</v>
      </c>
      <c r="C165" s="40">
        <v>381.76</v>
      </c>
      <c r="D165" s="44">
        <v>83.398968999999994</v>
      </c>
    </row>
    <row r="166" spans="2:4">
      <c r="B166" s="39">
        <v>45446</v>
      </c>
      <c r="C166" s="40">
        <v>393.12</v>
      </c>
      <c r="D166" s="44">
        <v>153.96803499999999</v>
      </c>
    </row>
    <row r="167" spans="2:4">
      <c r="B167" s="39">
        <v>45453</v>
      </c>
      <c r="C167" s="40">
        <v>393.08</v>
      </c>
      <c r="D167" s="44">
        <v>54.997075000000002</v>
      </c>
    </row>
    <row r="168" spans="2:4">
      <c r="B168" s="39">
        <v>45460</v>
      </c>
      <c r="C168" s="40">
        <v>382.55</v>
      </c>
      <c r="D168" s="44">
        <v>67.295033000000004</v>
      </c>
    </row>
    <row r="169" spans="2:4">
      <c r="B169" s="39">
        <v>45467</v>
      </c>
      <c r="C169" s="40">
        <v>387.38</v>
      </c>
      <c r="D169" s="44">
        <v>88.882795999999999</v>
      </c>
    </row>
    <row r="170" spans="2:4">
      <c r="B170" s="39">
        <v>45474</v>
      </c>
      <c r="C170" s="40">
        <v>395.96</v>
      </c>
      <c r="D170" s="44">
        <v>54.911127999999998</v>
      </c>
    </row>
    <row r="171" spans="2:4">
      <c r="B171" s="39">
        <v>45481</v>
      </c>
      <c r="C171" s="40">
        <v>418.51</v>
      </c>
      <c r="D171" s="44">
        <v>100.116517</v>
      </c>
    </row>
    <row r="172" spans="2:4">
      <c r="B172" s="39">
        <v>45488</v>
      </c>
      <c r="C172" s="40">
        <v>432.65</v>
      </c>
      <c r="D172" s="44">
        <v>78.220643999999993</v>
      </c>
    </row>
    <row r="173" spans="2:4">
      <c r="B173" s="39">
        <v>45495</v>
      </c>
      <c r="C173" s="40">
        <v>457.85</v>
      </c>
      <c r="D173" s="44">
        <v>158.684181</v>
      </c>
    </row>
    <row r="174" spans="2:4">
      <c r="B174" s="39">
        <v>45502</v>
      </c>
      <c r="C174" s="40">
        <v>445.91</v>
      </c>
      <c r="D174" s="44">
        <v>73.107791000000006</v>
      </c>
    </row>
    <row r="175" spans="2:4">
      <c r="B175" s="39">
        <v>45509</v>
      </c>
      <c r="C175" s="40">
        <v>452.11</v>
      </c>
      <c r="D175" s="44">
        <v>81.499908000000005</v>
      </c>
    </row>
    <row r="176" spans="2:4">
      <c r="B176" s="39">
        <v>45516</v>
      </c>
      <c r="C176" s="40">
        <v>458.26</v>
      </c>
      <c r="D176" s="44">
        <v>40.735455000000002</v>
      </c>
    </row>
    <row r="177" spans="2:4">
      <c r="B177" s="39">
        <v>45523</v>
      </c>
      <c r="C177" s="40">
        <v>461.14</v>
      </c>
      <c r="D177" s="44">
        <v>43.163155000000003</v>
      </c>
    </row>
    <row r="178" spans="2:4">
      <c r="B178" s="39">
        <v>45530</v>
      </c>
      <c r="C178" s="40">
        <v>457.58</v>
      </c>
      <c r="D178" s="44">
        <v>59.381827000000001</v>
      </c>
    </row>
    <row r="179" spans="2:4">
      <c r="B179" s="39">
        <v>45537</v>
      </c>
      <c r="C179" s="40">
        <v>457.4</v>
      </c>
      <c r="D179" s="44">
        <v>63.281531000000001</v>
      </c>
    </row>
    <row r="180" spans="2:4">
      <c r="B180" s="39">
        <v>45544</v>
      </c>
      <c r="C180" s="40">
        <v>468.47</v>
      </c>
      <c r="D180" s="44">
        <v>69.345264</v>
      </c>
    </row>
    <row r="181" spans="2:4">
      <c r="B181" s="39">
        <v>45551</v>
      </c>
      <c r="C181" s="40">
        <v>468.98</v>
      </c>
      <c r="D181" s="44">
        <v>63.536993000000002</v>
      </c>
    </row>
    <row r="182" spans="2:4">
      <c r="B182" s="39">
        <v>45558</v>
      </c>
      <c r="C182" s="40">
        <v>476.54</v>
      </c>
      <c r="D182" s="44">
        <v>57.926605000000002</v>
      </c>
    </row>
    <row r="183" spans="2:4">
      <c r="B183" s="39">
        <v>45565</v>
      </c>
      <c r="C183" s="40">
        <v>459.08</v>
      </c>
      <c r="D183" s="44">
        <v>51.634574000000001</v>
      </c>
    </row>
    <row r="184" spans="2:4">
      <c r="B184" s="39">
        <v>45572</v>
      </c>
      <c r="C184" s="40">
        <v>445.09</v>
      </c>
      <c r="D184" s="44">
        <v>80.099380999999994</v>
      </c>
    </row>
    <row r="185" spans="2:4">
      <c r="B185" s="39">
        <v>45579</v>
      </c>
      <c r="C185" s="40">
        <v>443.72</v>
      </c>
      <c r="D185" s="44">
        <v>52.543818999999999</v>
      </c>
    </row>
    <row r="186" spans="2:4">
      <c r="B186" s="39">
        <v>45586</v>
      </c>
      <c r="C186" s="40">
        <v>439.71</v>
      </c>
      <c r="D186" s="44">
        <v>76.757694999999998</v>
      </c>
    </row>
    <row r="187" spans="2:4">
      <c r="B187" s="39">
        <v>45593</v>
      </c>
      <c r="C187" s="40">
        <v>447</v>
      </c>
      <c r="D187" s="44">
        <v>32.347040999999997</v>
      </c>
    </row>
    <row r="188" spans="2:4">
      <c r="B188" s="39">
        <v>45600</v>
      </c>
      <c r="C188" s="40">
        <v>435.84</v>
      </c>
      <c r="D188" s="44">
        <v>43.707154000000003</v>
      </c>
    </row>
    <row r="189" spans="2:4">
      <c r="B189" s="39">
        <v>45607</v>
      </c>
      <c r="C189" s="40">
        <v>424.8</v>
      </c>
      <c r="D189" s="44">
        <v>34.572933999999997</v>
      </c>
    </row>
    <row r="190" spans="2:4">
      <c r="B190" s="39">
        <v>45614</v>
      </c>
      <c r="C190" s="40">
        <v>432.74</v>
      </c>
      <c r="D190" s="44">
        <v>56.097405999999999</v>
      </c>
    </row>
    <row r="191" spans="2:4">
      <c r="B191" s="39">
        <v>45621</v>
      </c>
      <c r="C191" s="40">
        <v>434.65</v>
      </c>
      <c r="D191" s="44">
        <v>52.193663000000001</v>
      </c>
    </row>
    <row r="192" spans="2:4">
      <c r="B192" s="39">
        <v>45628</v>
      </c>
      <c r="C192" s="40">
        <v>429.55</v>
      </c>
      <c r="D192" s="44">
        <v>77.995223999999993</v>
      </c>
    </row>
    <row r="193" spans="2:4">
      <c r="B193" s="39">
        <v>45635</v>
      </c>
      <c r="C193" s="40">
        <v>428.5</v>
      </c>
      <c r="D193" s="44">
        <v>74.680779999999999</v>
      </c>
    </row>
    <row r="194" spans="2:4">
      <c r="B194" s="39">
        <v>45642</v>
      </c>
      <c r="C194" s="40">
        <v>423.62</v>
      </c>
      <c r="D194" s="44">
        <v>78.197056000000003</v>
      </c>
    </row>
    <row r="195" spans="2:4">
      <c r="B195" s="39">
        <v>45649</v>
      </c>
      <c r="C195" s="40">
        <v>436.34</v>
      </c>
      <c r="D195" s="44">
        <v>57.668086000000002</v>
      </c>
    </row>
    <row r="196" spans="2:4">
      <c r="B196" s="39">
        <v>45656</v>
      </c>
      <c r="C196" s="40">
        <v>439.07</v>
      </c>
      <c r="D196" s="44">
        <v>111.928962</v>
      </c>
    </row>
    <row r="197" spans="2:4">
      <c r="B197" s="39">
        <v>45663</v>
      </c>
      <c r="C197" s="40">
        <v>421.23</v>
      </c>
      <c r="D197" s="44">
        <v>78.666042000000004</v>
      </c>
    </row>
    <row r="198" spans="2:4">
      <c r="B198" s="39">
        <v>45670</v>
      </c>
      <c r="C198" s="40">
        <v>416.78</v>
      </c>
      <c r="D198" s="44">
        <v>72.679001999999997</v>
      </c>
    </row>
    <row r="199" spans="2:4">
      <c r="B199" s="39">
        <v>45677</v>
      </c>
      <c r="C199" s="40">
        <v>418.11</v>
      </c>
      <c r="D199" s="44">
        <v>52.602550999999998</v>
      </c>
    </row>
    <row r="200" spans="2:4">
      <c r="B200" s="39">
        <v>45684</v>
      </c>
      <c r="C200" s="40">
        <v>437.95</v>
      </c>
      <c r="D200" s="44">
        <v>112.88766800000001</v>
      </c>
    </row>
    <row r="201" spans="2:4">
      <c r="B201" s="39">
        <v>45691</v>
      </c>
      <c r="C201" s="40">
        <v>407.93</v>
      </c>
      <c r="D201" s="44">
        <v>85.096805000000003</v>
      </c>
    </row>
    <row r="202" spans="2:4">
      <c r="B202" s="39">
        <v>45698</v>
      </c>
      <c r="C202" s="40">
        <v>388.43</v>
      </c>
      <c r="D202" s="44">
        <v>67.513729999999995</v>
      </c>
    </row>
    <row r="203" spans="2:4">
      <c r="B203" s="39">
        <v>45705</v>
      </c>
      <c r="C203" s="40">
        <v>385.57</v>
      </c>
      <c r="D203" s="44">
        <v>55.649270999999999</v>
      </c>
    </row>
    <row r="204" spans="2:4">
      <c r="B204" s="39">
        <v>45712</v>
      </c>
      <c r="C204" s="40">
        <v>379.89</v>
      </c>
      <c r="D204" s="44">
        <v>73.804294999999996</v>
      </c>
    </row>
    <row r="205" spans="2:4">
      <c r="B205" s="39">
        <v>45719</v>
      </c>
      <c r="C205" s="40">
        <v>388.45</v>
      </c>
      <c r="D205" s="44">
        <v>68.823374999999999</v>
      </c>
    </row>
    <row r="206" spans="2:4">
      <c r="B206" s="39">
        <v>45726</v>
      </c>
      <c r="C206" s="40">
        <v>396.29</v>
      </c>
      <c r="D206" s="44">
        <v>42.925367999999999</v>
      </c>
    </row>
    <row r="207" spans="2:4">
      <c r="B207" s="39">
        <v>45733</v>
      </c>
      <c r="C207" s="40">
        <v>390.04</v>
      </c>
      <c r="D207" s="44">
        <v>74.246161000000001</v>
      </c>
    </row>
    <row r="208" spans="2:4">
      <c r="B208" s="39">
        <v>45740</v>
      </c>
      <c r="C208" s="40">
        <v>394.08</v>
      </c>
      <c r="D208" s="44">
        <v>80.216318999999999</v>
      </c>
    </row>
    <row r="209" spans="2:4">
      <c r="B209" s="39">
        <v>45747</v>
      </c>
      <c r="C209" s="40">
        <v>394.03</v>
      </c>
      <c r="D209" s="44">
        <v>48.894720999999997</v>
      </c>
    </row>
    <row r="210" spans="2:4">
      <c r="B210" s="39">
        <v>45754</v>
      </c>
      <c r="C210" s="40">
        <v>405.43</v>
      </c>
      <c r="D210" s="44">
        <v>76.088589999999996</v>
      </c>
    </row>
    <row r="211" spans="2:4">
      <c r="B211" s="39">
        <v>45761</v>
      </c>
      <c r="C211" s="40">
        <v>410.91</v>
      </c>
      <c r="D211" s="44">
        <v>47.130690999999999</v>
      </c>
    </row>
    <row r="212" spans="2:4">
      <c r="B212" s="39">
        <v>45768</v>
      </c>
      <c r="C212" s="40">
        <v>411.44</v>
      </c>
      <c r="D212" s="44">
        <v>127.994955</v>
      </c>
    </row>
    <row r="213" spans="2:4">
      <c r="B213" s="39">
        <v>45775</v>
      </c>
      <c r="C213" s="40">
        <v>413.07</v>
      </c>
      <c r="D213" s="44">
        <v>36.766942999999998</v>
      </c>
    </row>
    <row r="214" spans="2:4">
      <c r="B214" s="39">
        <v>45782</v>
      </c>
      <c r="C214" s="40">
        <v>407.35</v>
      </c>
      <c r="D214" s="44">
        <v>64.426705999999996</v>
      </c>
    </row>
    <row r="215" spans="2:4">
      <c r="B215" s="39">
        <v>45789</v>
      </c>
      <c r="C215" s="40">
        <v>419.04</v>
      </c>
      <c r="D215" s="44">
        <v>73.231114000000005</v>
      </c>
    </row>
    <row r="216" spans="2:4">
      <c r="B216" s="39">
        <v>45796</v>
      </c>
      <c r="C216" s="40">
        <v>419.61</v>
      </c>
      <c r="D216" s="44">
        <v>61.177573000000002</v>
      </c>
    </row>
    <row r="217" spans="2:4">
      <c r="B217" s="39">
        <v>45803</v>
      </c>
      <c r="C217" s="40">
        <v>402.06</v>
      </c>
      <c r="D217" s="44">
        <v>524.08009200000004</v>
      </c>
    </row>
    <row r="218" spans="2:4">
      <c r="B218" s="39">
        <v>45810</v>
      </c>
      <c r="C218" s="40">
        <v>412.41</v>
      </c>
      <c r="D218" s="44">
        <v>62.776310000000002</v>
      </c>
    </row>
    <row r="219" spans="2:4">
      <c r="B219" s="39">
        <v>45817</v>
      </c>
      <c r="C219" s="40">
        <v>405.4</v>
      </c>
      <c r="D219" s="44">
        <v>80.686141000000006</v>
      </c>
    </row>
    <row r="220" spans="2:4">
      <c r="B220" s="39">
        <v>45824</v>
      </c>
      <c r="C220" s="40">
        <v>409.96</v>
      </c>
      <c r="D220" s="44">
        <v>49.875439999999998</v>
      </c>
    </row>
    <row r="221" spans="2:4">
      <c r="B221" s="39">
        <v>45831</v>
      </c>
      <c r="C221" s="40">
        <v>410.06</v>
      </c>
      <c r="D221" s="44">
        <v>76.590529000000004</v>
      </c>
    </row>
    <row r="222" spans="2:4">
      <c r="B222" s="39">
        <v>45838</v>
      </c>
      <c r="C222" s="40">
        <v>404.08</v>
      </c>
      <c r="D222" s="44">
        <v>64.420518999999999</v>
      </c>
    </row>
    <row r="223" spans="2:4">
      <c r="B223" s="39">
        <v>45845</v>
      </c>
      <c r="C223" s="40">
        <v>408.24</v>
      </c>
      <c r="D223" s="44">
        <v>38.382147000000003</v>
      </c>
    </row>
    <row r="224" spans="2:4">
      <c r="B224" s="39">
        <v>45852</v>
      </c>
      <c r="C224" s="40">
        <v>414.07</v>
      </c>
      <c r="D224" s="44">
        <v>39.181567999999999</v>
      </c>
    </row>
    <row r="225" spans="2:4">
      <c r="B225" s="39">
        <v>45859</v>
      </c>
      <c r="C225" s="40">
        <v>401</v>
      </c>
      <c r="D225" s="44">
        <v>41.717283000000002</v>
      </c>
    </row>
    <row r="226" spans="2:4">
      <c r="B226" s="39">
        <v>45866</v>
      </c>
      <c r="C226" s="40">
        <v>407.9</v>
      </c>
      <c r="D226" s="44">
        <v>59.539211000000002</v>
      </c>
    </row>
    <row r="227" spans="2:4">
      <c r="B227" s="39">
        <v>45873</v>
      </c>
      <c r="C227" s="40">
        <v>405.99</v>
      </c>
      <c r="D227" s="44">
        <v>57.257344000000003</v>
      </c>
    </row>
    <row r="228" spans="2:4">
      <c r="B228" s="39">
        <v>45880</v>
      </c>
      <c r="C228" s="40">
        <v>403</v>
      </c>
      <c r="D228" s="44">
        <v>57.257344000000003</v>
      </c>
    </row>
    <row r="229" spans="2:4">
      <c r="B229" s="39">
        <v>45887</v>
      </c>
      <c r="C229" s="40">
        <v>390.12</v>
      </c>
      <c r="D229" s="44">
        <v>93.936864</v>
      </c>
    </row>
    <row r="230" spans="2:4">
      <c r="B230" s="39">
        <v>45894</v>
      </c>
      <c r="C230" s="40">
        <v>401.34</v>
      </c>
      <c r="D230" s="44">
        <v>61.882807</v>
      </c>
    </row>
    <row r="231" spans="2:4">
      <c r="B231" s="39">
        <v>45901</v>
      </c>
      <c r="C231" s="40">
        <v>398.99</v>
      </c>
      <c r="D231" s="44">
        <v>88.287730999999994</v>
      </c>
    </row>
    <row r="232" spans="2:4">
      <c r="B232" s="39">
        <v>45908</v>
      </c>
      <c r="C232" s="40">
        <v>405.26</v>
      </c>
      <c r="D232" s="44">
        <v>41.575099999999999</v>
      </c>
    </row>
    <row r="233" spans="2:4">
      <c r="B233" s="39">
        <v>45915</v>
      </c>
      <c r="C233" s="40">
        <v>402.22</v>
      </c>
      <c r="D233" s="44">
        <v>63.213428999999998</v>
      </c>
    </row>
    <row r="234" spans="2:4">
      <c r="B234" s="39">
        <v>45922</v>
      </c>
      <c r="C234" s="40">
        <v>396.78</v>
      </c>
      <c r="D234" s="44">
        <v>72.268412999999995</v>
      </c>
    </row>
    <row r="235" spans="2:4">
      <c r="B235" s="39">
        <v>45929</v>
      </c>
      <c r="C235" s="40">
        <v>396</v>
      </c>
      <c r="D235" s="44">
        <v>63.813330000000001</v>
      </c>
    </row>
    <row r="236" spans="2:4">
      <c r="B236" s="39">
        <v>45936</v>
      </c>
      <c r="C236" s="40">
        <v>394.53</v>
      </c>
      <c r="D236" s="44">
        <v>65.432513</v>
      </c>
    </row>
    <row r="237" spans="2:4">
      <c r="B237" s="39">
        <v>45943</v>
      </c>
      <c r="C237" s="40">
        <v>403.69</v>
      </c>
      <c r="D237" s="44">
        <v>79.876956000000007</v>
      </c>
    </row>
    <row r="238" spans="2:4">
      <c r="B238" s="39">
        <v>45950</v>
      </c>
      <c r="C238" s="40">
        <v>416.8</v>
      </c>
      <c r="D238" s="44">
        <v>53.467419</v>
      </c>
    </row>
    <row r="239" spans="2:4">
      <c r="B239" s="39">
        <v>45957</v>
      </c>
      <c r="C239" s="40">
        <v>411.72</v>
      </c>
      <c r="D239" s="44">
        <v>71.776025000000004</v>
      </c>
    </row>
    <row r="240" spans="2:4">
      <c r="B240" s="39">
        <v>45964</v>
      </c>
      <c r="C240" s="40">
        <v>395.76</v>
      </c>
      <c r="D240" s="44">
        <v>36.228017999999999</v>
      </c>
    </row>
    <row r="241" spans="2:4">
      <c r="B241" s="39">
        <v>45971</v>
      </c>
      <c r="C241" s="40">
        <v>399.77</v>
      </c>
      <c r="D241" s="44">
        <v>97.28</v>
      </c>
    </row>
    <row r="242" spans="2:4">
      <c r="B242" s="39">
        <v>45978</v>
      </c>
      <c r="C242" s="40">
        <v>399.48</v>
      </c>
      <c r="D242" s="44">
        <v>35.901071000000002</v>
      </c>
    </row>
    <row r="243" spans="2:4">
      <c r="B243" s="39">
        <v>45985</v>
      </c>
      <c r="C243" s="40">
        <v>395.95</v>
      </c>
      <c r="D243" s="44">
        <v>46.244258000000002</v>
      </c>
    </row>
    <row r="244" spans="2:4">
      <c r="B244" s="39">
        <v>45992</v>
      </c>
      <c r="C244" s="40">
        <v>396.64</v>
      </c>
      <c r="D244" s="44">
        <v>44.786394000000001</v>
      </c>
    </row>
    <row r="245" spans="2:4">
      <c r="B245" s="39">
        <v>45999</v>
      </c>
      <c r="C245" s="40">
        <v>391.89</v>
      </c>
      <c r="D245" s="44">
        <v>41.840392000000001</v>
      </c>
    </row>
    <row r="246" spans="2:4">
      <c r="B246" s="39">
        <v>46006</v>
      </c>
      <c r="C246" s="40">
        <v>392.82</v>
      </c>
      <c r="D246" s="44">
        <v>46.073940999999998</v>
      </c>
    </row>
    <row r="247" spans="2:4">
      <c r="B247" s="39">
        <v>46013</v>
      </c>
      <c r="C247" s="40">
        <v>395.85</v>
      </c>
      <c r="D247" s="44">
        <v>25.859750999999999</v>
      </c>
    </row>
    <row r="248" spans="2:4">
      <c r="B248" s="39">
        <v>46020</v>
      </c>
      <c r="C248" s="40">
        <v>342.86</v>
      </c>
      <c r="D248" s="44">
        <v>430.350414</v>
      </c>
    </row>
    <row r="249" spans="2:4">
      <c r="B249" s="39">
        <v>46027</v>
      </c>
      <c r="C249" s="40">
        <v>330.23</v>
      </c>
      <c r="D249" s="44">
        <v>222.281116</v>
      </c>
    </row>
    <row r="250" spans="2:4">
      <c r="B250" s="39">
        <v>46034</v>
      </c>
      <c r="C250" s="40">
        <v>322.44</v>
      </c>
      <c r="D250" s="44">
        <v>86.518801999999994</v>
      </c>
    </row>
    <row r="251" spans="2:4">
      <c r="B251" s="39">
        <v>46041</v>
      </c>
      <c r="C251" s="40">
        <v>316.76</v>
      </c>
      <c r="D251" s="44">
        <v>79.029357000000005</v>
      </c>
    </row>
    <row r="252" spans="2:4">
      <c r="B252" s="39">
        <v>46048</v>
      </c>
      <c r="C252" s="40">
        <v>303.10000000000002</v>
      </c>
      <c r="D252" s="44">
        <v>169.222261</v>
      </c>
    </row>
    <row r="253" spans="2:4">
      <c r="B253" s="39">
        <v>46055</v>
      </c>
      <c r="C253" s="40">
        <v>319.11</v>
      </c>
      <c r="D253" s="44">
        <v>163.46713299999999</v>
      </c>
    </row>
    <row r="254" spans="2:4">
      <c r="B254" s="39">
        <v>46062</v>
      </c>
      <c r="C254" s="40">
        <v>313.75</v>
      </c>
      <c r="D254" s="44">
        <v>78.416832999999997</v>
      </c>
    </row>
    <row r="255" spans="2:4">
      <c r="B255" s="39">
        <v>46069</v>
      </c>
      <c r="C255" s="40">
        <v>327</v>
      </c>
      <c r="D255" s="44">
        <v>117.721412</v>
      </c>
    </row>
    <row r="256" spans="2:4">
      <c r="B256" s="39">
        <v>46076</v>
      </c>
      <c r="C256" s="40">
        <v>313.60000000000002</v>
      </c>
      <c r="D256" s="44">
        <v>65.276765999999995</v>
      </c>
    </row>
    <row r="257" spans="2:13">
      <c r="B257" s="39">
        <v>46083</v>
      </c>
      <c r="C257" s="40">
        <v>309.7</v>
      </c>
      <c r="D257" s="44">
        <v>87.586078000000001</v>
      </c>
    </row>
    <row r="258" spans="2:13">
      <c r="B258" s="39">
        <v>46090</v>
      </c>
      <c r="C258" s="40">
        <v>301.45</v>
      </c>
      <c r="D258" s="44">
        <v>96.260041000000001</v>
      </c>
    </row>
    <row r="259" spans="2:13">
      <c r="B259" s="39">
        <v>46097</v>
      </c>
      <c r="C259" s="40">
        <v>299.95</v>
      </c>
      <c r="D259" s="44">
        <v>156.35469900000001</v>
      </c>
    </row>
    <row r="260" spans="2:13">
      <c r="B260" s="39">
        <v>46104</v>
      </c>
      <c r="C260" s="40">
        <v>294.7</v>
      </c>
      <c r="D260" s="44">
        <v>113.487619</v>
      </c>
    </row>
    <row r="261" spans="2:13">
      <c r="B261" s="39">
        <v>46111</v>
      </c>
      <c r="C261" s="40">
        <v>292.85000000000002</v>
      </c>
      <c r="D261" s="44">
        <v>61.274036000000002</v>
      </c>
    </row>
    <row r="262" spans="2:13">
      <c r="B262" s="39">
        <v>46118</v>
      </c>
      <c r="C262" s="40">
        <v>304.25</v>
      </c>
      <c r="D262" s="44">
        <v>102.756618</v>
      </c>
    </row>
    <row r="263" spans="2:13">
      <c r="B263" s="39">
        <v>46125</v>
      </c>
      <c r="C263" s="40">
        <v>306.8</v>
      </c>
      <c r="D263" s="44">
        <v>86.846672999999996</v>
      </c>
    </row>
    <row r="264" spans="2:13">
      <c r="B264" s="39">
        <v>46129</v>
      </c>
      <c r="C264" s="40">
        <v>306.8</v>
      </c>
      <c r="D264" s="44">
        <v>35.106870000000001</v>
      </c>
    </row>
    <row r="268" spans="2:13" ht="18">
      <c r="E268" s="45"/>
      <c r="F268" s="45"/>
      <c r="G268" s="45"/>
      <c r="H268" s="45"/>
      <c r="J268" t="s">
        <v>134</v>
      </c>
      <c r="K268" t="s">
        <v>144</v>
      </c>
      <c r="L268" t="s">
        <v>146</v>
      </c>
      <c r="M268" t="s">
        <v>145</v>
      </c>
    </row>
    <row r="269" spans="2:13" ht="18">
      <c r="E269" s="46"/>
      <c r="F269" s="47"/>
      <c r="G269" s="46"/>
      <c r="H269" s="48"/>
      <c r="J269" t="s">
        <v>135</v>
      </c>
      <c r="K269" s="36">
        <v>222.8495863</v>
      </c>
      <c r="L269">
        <v>0.1779</v>
      </c>
      <c r="M269" s="36">
        <f>$C$264*K269</f>
        <v>68370.253076840003</v>
      </c>
    </row>
    <row r="270" spans="2:13" ht="18">
      <c r="E270" s="46"/>
      <c r="F270" s="47"/>
      <c r="G270" s="46"/>
      <c r="H270" s="48"/>
      <c r="J270" t="s">
        <v>136</v>
      </c>
      <c r="K270" s="36">
        <v>198.32052530000001</v>
      </c>
      <c r="L270">
        <v>0.1583</v>
      </c>
      <c r="M270" s="36">
        <f t="shared" ref="M270:M278" si="0">$C$264*K270</f>
        <v>60844.737162040008</v>
      </c>
    </row>
    <row r="271" spans="2:13" ht="18">
      <c r="E271" s="46"/>
      <c r="F271" s="47"/>
      <c r="G271" s="46"/>
      <c r="H271" s="48"/>
      <c r="J271" t="s">
        <v>137</v>
      </c>
      <c r="K271" s="36">
        <v>97.453142700000001</v>
      </c>
      <c r="L271">
        <v>7.7800000000000008E-2</v>
      </c>
      <c r="M271" s="36">
        <f t="shared" si="0"/>
        <v>29898.624180360002</v>
      </c>
    </row>
    <row r="272" spans="2:13" ht="18">
      <c r="E272" s="46"/>
      <c r="F272" s="47"/>
      <c r="G272" s="46"/>
      <c r="H272" s="48"/>
      <c r="J272" t="s">
        <v>138</v>
      </c>
      <c r="K272" s="36">
        <v>48.631194000000001</v>
      </c>
      <c r="L272">
        <v>3.8800000000000001E-2</v>
      </c>
      <c r="M272" s="36">
        <f t="shared" si="0"/>
        <v>14920.050319200001</v>
      </c>
    </row>
    <row r="273" spans="5:13" ht="18">
      <c r="E273" s="46"/>
      <c r="F273" s="47"/>
      <c r="G273" s="46"/>
      <c r="H273" s="48"/>
      <c r="J273" t="s">
        <v>139</v>
      </c>
      <c r="K273" s="36">
        <v>44.801725699999999</v>
      </c>
      <c r="L273">
        <v>3.5799999999999998E-2</v>
      </c>
      <c r="M273" s="36">
        <f t="shared" si="0"/>
        <v>13745.16944476</v>
      </c>
    </row>
    <row r="274" spans="5:13" ht="18">
      <c r="E274" s="46"/>
      <c r="F274" s="47"/>
      <c r="G274" s="46"/>
      <c r="H274" s="48"/>
      <c r="J274" t="s">
        <v>140</v>
      </c>
      <c r="K274" s="36">
        <v>41.263847400000003</v>
      </c>
      <c r="L274">
        <v>3.2899999999999999E-2</v>
      </c>
      <c r="M274" s="36">
        <f t="shared" si="0"/>
        <v>12659.748382320002</v>
      </c>
    </row>
    <row r="275" spans="5:13" ht="18">
      <c r="E275" s="46"/>
      <c r="F275" s="47"/>
      <c r="G275" s="46"/>
      <c r="H275" s="48"/>
      <c r="J275" t="s">
        <v>141</v>
      </c>
      <c r="K275" s="36">
        <v>26.3704964</v>
      </c>
      <c r="L275">
        <v>2.1099999999999997E-2</v>
      </c>
      <c r="M275" s="36">
        <f t="shared" si="0"/>
        <v>8090.4682955200005</v>
      </c>
    </row>
    <row r="276" spans="5:13" ht="18">
      <c r="E276" s="46"/>
      <c r="F276" s="47"/>
      <c r="G276" s="46"/>
      <c r="H276" s="48"/>
      <c r="J276" t="s">
        <v>142</v>
      </c>
      <c r="K276" s="36">
        <v>23.861659400000001</v>
      </c>
      <c r="L276">
        <v>1.9E-2</v>
      </c>
      <c r="M276" s="36">
        <f t="shared" si="0"/>
        <v>7320.7571039200002</v>
      </c>
    </row>
    <row r="277" spans="5:13" ht="18">
      <c r="E277" s="46"/>
      <c r="F277" s="47"/>
      <c r="G277" s="46"/>
      <c r="H277" s="48"/>
      <c r="J277" t="s">
        <v>148</v>
      </c>
      <c r="K277" s="36">
        <v>21.766938700000001</v>
      </c>
      <c r="L277">
        <v>1.7399999999999999E-2</v>
      </c>
      <c r="M277" s="36">
        <f t="shared" si="0"/>
        <v>6678.0967931600007</v>
      </c>
    </row>
    <row r="278" spans="5:13" ht="18">
      <c r="E278" s="46"/>
      <c r="F278" s="47"/>
      <c r="G278" s="46"/>
      <c r="H278" s="48"/>
      <c r="J278" t="s">
        <v>143</v>
      </c>
      <c r="K278" s="36">
        <v>21.718550799999999</v>
      </c>
      <c r="L278">
        <v>1.7299999999999999E-2</v>
      </c>
      <c r="M278" s="36">
        <f t="shared" si="0"/>
        <v>6663.2513854400004</v>
      </c>
    </row>
    <row r="281" spans="5:13">
      <c r="I281" t="s">
        <v>149</v>
      </c>
      <c r="J281" s="5">
        <v>0.36109999999999998</v>
      </c>
    </row>
    <row r="282" spans="5:13">
      <c r="I282" t="s">
        <v>150</v>
      </c>
      <c r="J282" s="5">
        <v>0.48899999999999999</v>
      </c>
    </row>
    <row r="283" spans="5:13" ht="32">
      <c r="I283" s="27" t="s">
        <v>151</v>
      </c>
      <c r="J283" s="34">
        <f>14.95% + 0.04%</f>
        <v>0.14990000000000001</v>
      </c>
    </row>
  </sheetData>
  <autoFilter ref="B2:C2" xr:uid="{3EF7EE22-6319-9D46-916A-44596F7B78CA}">
    <sortState xmlns:xlrd2="http://schemas.microsoft.com/office/spreadsheetml/2017/richdata2" ref="B3:C264">
      <sortCondition ref="B2:B264"/>
    </sortState>
  </autoFilter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49"/>
  <sheetViews>
    <sheetView zoomScale="120" zoomScaleNormal="120" zoomScaleSheetLayoutView="100" zoomScalePageLayoutView="120" workbookViewId="0">
      <pane xSplit="1" ySplit="4" topLeftCell="B21" activePane="bottomRight" state="frozen"/>
      <selection activeCell="I2" sqref="I2"/>
      <selection pane="topRight" activeCell="I2" sqref="I2"/>
      <selection pane="bottomLeft" activeCell="I2" sqref="I2"/>
      <selection pane="bottomRight" activeCell="K41" sqref="K41"/>
    </sheetView>
  </sheetViews>
  <sheetFormatPr baseColWidth="10" defaultColWidth="8.83203125" defaultRowHeight="15"/>
  <cols>
    <col min="1" max="1" width="20.6640625" customWidth="1"/>
    <col min="2" max="6" width="13.5" customWidth="1"/>
    <col min="7" max="7" width="14.83203125" bestFit="1" customWidth="1"/>
    <col min="8" max="11" width="13.5" customWidth="1"/>
    <col min="12" max="12" width="13.33203125" customWidth="1"/>
    <col min="13" max="14" width="12.1640625" customWidth="1"/>
  </cols>
  <sheetData>
    <row r="1" spans="1:14" s="2" customFormat="1">
      <c r="A1" s="2" t="str">
        <f>'Data Sheet'!B1</f>
        <v>ITC LTD</v>
      </c>
      <c r="H1" t="str">
        <f>UPDATE</f>
        <v/>
      </c>
      <c r="J1" s="3"/>
      <c r="K1" s="3"/>
      <c r="M1" s="2" t="s">
        <v>1</v>
      </c>
    </row>
    <row r="3" spans="1:14" s="2" customFormat="1">
      <c r="A3" s="11" t="s">
        <v>2</v>
      </c>
      <c r="B3" s="12">
        <f>'Data Sheet'!B16</f>
        <v>42460</v>
      </c>
      <c r="C3" s="12">
        <f>'Data Sheet'!C16</f>
        <v>42825</v>
      </c>
      <c r="D3" s="12">
        <f>'Data Sheet'!D16</f>
        <v>43190</v>
      </c>
      <c r="E3" s="12">
        <f>'Data Sheet'!E16</f>
        <v>43555</v>
      </c>
      <c r="F3" s="12">
        <f>'Data Sheet'!F16</f>
        <v>43921</v>
      </c>
      <c r="G3" s="12">
        <f>'Data Sheet'!G16</f>
        <v>44286</v>
      </c>
      <c r="H3" s="12">
        <f>'Data Sheet'!H16</f>
        <v>44651</v>
      </c>
      <c r="I3" s="12">
        <f>'Data Sheet'!I16</f>
        <v>45016</v>
      </c>
      <c r="J3" s="12">
        <f>'Data Sheet'!J16</f>
        <v>45382</v>
      </c>
      <c r="K3" s="12">
        <f>'Data Sheet'!K16</f>
        <v>45747</v>
      </c>
      <c r="L3" s="13" t="s">
        <v>3</v>
      </c>
      <c r="M3" s="13" t="s">
        <v>4</v>
      </c>
      <c r="N3" s="13" t="s">
        <v>5</v>
      </c>
    </row>
    <row r="4" spans="1:14" s="2" customFormat="1">
      <c r="A4" s="2" t="s">
        <v>6</v>
      </c>
      <c r="B4" s="1">
        <f>'Data Sheet'!B17</f>
        <v>39192.1</v>
      </c>
      <c r="C4" s="1">
        <f>'Data Sheet'!C17</f>
        <v>42767.6</v>
      </c>
      <c r="D4" s="1">
        <f>'Data Sheet'!D17</f>
        <v>43448.94</v>
      </c>
      <c r="E4" s="1">
        <f>'Data Sheet'!E17</f>
        <v>48339.58</v>
      </c>
      <c r="F4" s="1">
        <f>'Data Sheet'!F17</f>
        <v>49387.7</v>
      </c>
      <c r="G4" s="1">
        <f>'Data Sheet'!G17</f>
        <v>49257.45</v>
      </c>
      <c r="H4" s="1">
        <f>'Data Sheet'!H17</f>
        <v>60644.54</v>
      </c>
      <c r="I4" s="1">
        <f>'Data Sheet'!I17</f>
        <v>70919.03</v>
      </c>
      <c r="J4" s="1">
        <f>'Data Sheet'!J17</f>
        <v>67931.94</v>
      </c>
      <c r="K4" s="1">
        <f>'Data Sheet'!K17</f>
        <v>75323.34</v>
      </c>
      <c r="L4" s="1">
        <f>SUM(Quarters!H4:K4)</f>
        <v>79808.72</v>
      </c>
      <c r="M4" s="1">
        <f>$K4+M23*K4</f>
        <v>83518.968378580088</v>
      </c>
      <c r="N4" s="1">
        <f>$K4+N23*L4</f>
        <v>81303.230401530862</v>
      </c>
    </row>
    <row r="5" spans="1:14">
      <c r="A5" t="s">
        <v>7</v>
      </c>
      <c r="B5" s="6">
        <f>SUM('Data Sheet'!B18,'Data Sheet'!B20:B24, -1*'Data Sheet'!B19)</f>
        <v>24660.609999999997</v>
      </c>
      <c r="C5" s="6">
        <f>SUM('Data Sheet'!C18,'Data Sheet'!C20:C24, -1*'Data Sheet'!C19)</f>
        <v>27298.09</v>
      </c>
      <c r="D5" s="6">
        <f>SUM('Data Sheet'!D18,'Data Sheet'!D20:D24, -1*'Data Sheet'!D19)</f>
        <v>26928.35</v>
      </c>
      <c r="E5" s="6">
        <f>SUM('Data Sheet'!E18,'Data Sheet'!E20:E24, -1*'Data Sheet'!E19)</f>
        <v>29802.19</v>
      </c>
      <c r="F5" s="6">
        <f>SUM('Data Sheet'!F18,'Data Sheet'!F20:F24, -1*'Data Sheet'!F19)</f>
        <v>30044.16</v>
      </c>
      <c r="G5" s="6">
        <f>SUM('Data Sheet'!G18,'Data Sheet'!G20:G24, -1*'Data Sheet'!G19)</f>
        <v>32192.670000000002</v>
      </c>
      <c r="H5" s="6">
        <f>SUM('Data Sheet'!H18,'Data Sheet'!H20:H24, -1*'Data Sheet'!H19)</f>
        <v>40021.39</v>
      </c>
      <c r="I5" s="6">
        <f>SUM('Data Sheet'!I18,'Data Sheet'!I20:I24, -1*'Data Sheet'!I19)</f>
        <v>45214.770000000004</v>
      </c>
      <c r="J5" s="6">
        <f>SUM('Data Sheet'!J18,'Data Sheet'!J20:J24, -1*'Data Sheet'!J19)</f>
        <v>42744.41</v>
      </c>
      <c r="K5" s="6">
        <f>SUM('Data Sheet'!K18,'Data Sheet'!K20:K24, -1*'Data Sheet'!K19)</f>
        <v>49483.89</v>
      </c>
      <c r="L5" s="6">
        <f>SUM(Quarters!H5:K5)</f>
        <v>52895.65</v>
      </c>
      <c r="M5" s="6">
        <f t="shared" ref="M5:N5" si="0">M4-M6</f>
        <v>53597.013652967857</v>
      </c>
      <c r="N5" s="6">
        <f t="shared" si="0"/>
        <v>53886.182101263315</v>
      </c>
    </row>
    <row r="6" spans="1:14" s="2" customFormat="1">
      <c r="A6" s="2" t="s">
        <v>8</v>
      </c>
      <c r="B6" s="1">
        <f>B4-B5</f>
        <v>14531.490000000002</v>
      </c>
      <c r="C6" s="1">
        <f t="shared" ref="C6:K6" si="1">C4-C5</f>
        <v>15469.509999999998</v>
      </c>
      <c r="D6" s="1">
        <f t="shared" si="1"/>
        <v>16520.590000000004</v>
      </c>
      <c r="E6" s="1">
        <f t="shared" si="1"/>
        <v>18537.390000000003</v>
      </c>
      <c r="F6" s="1">
        <f t="shared" si="1"/>
        <v>19343.539999999997</v>
      </c>
      <c r="G6" s="1">
        <f t="shared" si="1"/>
        <v>17064.779999999995</v>
      </c>
      <c r="H6" s="1">
        <f t="shared" si="1"/>
        <v>20623.150000000001</v>
      </c>
      <c r="I6" s="1">
        <f t="shared" si="1"/>
        <v>25704.259999999995</v>
      </c>
      <c r="J6" s="1">
        <f t="shared" si="1"/>
        <v>25187.53</v>
      </c>
      <c r="K6" s="1">
        <f t="shared" si="1"/>
        <v>25839.449999999997</v>
      </c>
      <c r="L6" s="1">
        <f>SUM(Quarters!H6:K6)</f>
        <v>26913.07</v>
      </c>
      <c r="M6" s="1">
        <f>M4*M24</f>
        <v>29921.954725612231</v>
      </c>
      <c r="N6" s="1">
        <f>N4*N24</f>
        <v>27417.048300267543</v>
      </c>
    </row>
    <row r="7" spans="1:14">
      <c r="A7" t="s">
        <v>9</v>
      </c>
      <c r="B7" s="6">
        <f>'Data Sheet'!B25</f>
        <v>1483.11</v>
      </c>
      <c r="C7" s="6">
        <f>'Data Sheet'!C25</f>
        <v>1758.63</v>
      </c>
      <c r="D7" s="6">
        <f>'Data Sheet'!D25</f>
        <v>2239.81</v>
      </c>
      <c r="E7" s="6">
        <f>'Data Sheet'!E25</f>
        <v>2080.44</v>
      </c>
      <c r="F7" s="6">
        <f>'Data Sheet'!F25</f>
        <v>2417.3200000000002</v>
      </c>
      <c r="G7" s="6">
        <f>'Data Sheet'!G25</f>
        <v>2576.9499999999998</v>
      </c>
      <c r="H7" s="6">
        <f>'Data Sheet'!H25</f>
        <v>1909.72</v>
      </c>
      <c r="I7" s="6">
        <f>'Data Sheet'!I25</f>
        <v>2097.64</v>
      </c>
      <c r="J7" s="6">
        <f>'Data Sheet'!J25</f>
        <v>3330.45</v>
      </c>
      <c r="K7" s="6">
        <f>'Data Sheet'!K25</f>
        <v>17794.88</v>
      </c>
      <c r="L7" s="6">
        <f>SUM(Quarters!H7:K7)</f>
        <v>17202.939999999999</v>
      </c>
      <c r="M7" s="6">
        <v>0</v>
      </c>
      <c r="N7" s="6">
        <v>0</v>
      </c>
    </row>
    <row r="8" spans="1:14">
      <c r="A8" t="s">
        <v>10</v>
      </c>
      <c r="B8" s="6">
        <f>'Data Sheet'!B26</f>
        <v>1077.4000000000001</v>
      </c>
      <c r="C8" s="6">
        <f>'Data Sheet'!C26</f>
        <v>1152.79</v>
      </c>
      <c r="D8" s="6">
        <f>'Data Sheet'!D26</f>
        <v>1236.28</v>
      </c>
      <c r="E8" s="6">
        <f>'Data Sheet'!E26</f>
        <v>1396.61</v>
      </c>
      <c r="F8" s="6">
        <f>'Data Sheet'!F26</f>
        <v>1644.91</v>
      </c>
      <c r="G8" s="6">
        <f>'Data Sheet'!G26</f>
        <v>1645.59</v>
      </c>
      <c r="H8" s="6">
        <f>'Data Sheet'!H26</f>
        <v>1732.41</v>
      </c>
      <c r="I8" s="6">
        <f>'Data Sheet'!I26</f>
        <v>1809.01</v>
      </c>
      <c r="J8" s="6">
        <f>'Data Sheet'!J26</f>
        <v>1518.05</v>
      </c>
      <c r="K8" s="6">
        <f>'Data Sheet'!K26</f>
        <v>1646.32</v>
      </c>
      <c r="L8" s="6">
        <f>SUM(Quarters!H8:K8)</f>
        <v>1699.61</v>
      </c>
      <c r="M8" s="6">
        <f>+$L8</f>
        <v>1699.61</v>
      </c>
      <c r="N8" s="6">
        <f>+$L8</f>
        <v>1699.61</v>
      </c>
    </row>
    <row r="9" spans="1:14">
      <c r="A9" t="s">
        <v>11</v>
      </c>
      <c r="B9" s="6">
        <f>'Data Sheet'!B27</f>
        <v>78.13</v>
      </c>
      <c r="C9" s="6">
        <f>'Data Sheet'!C27</f>
        <v>49.03</v>
      </c>
      <c r="D9" s="6">
        <f>'Data Sheet'!D27</f>
        <v>115.01</v>
      </c>
      <c r="E9" s="6">
        <f>'Data Sheet'!E27</f>
        <v>71.400000000000006</v>
      </c>
      <c r="F9" s="6">
        <f>'Data Sheet'!F27</f>
        <v>81.38</v>
      </c>
      <c r="G9" s="6">
        <f>'Data Sheet'!G27</f>
        <v>57.97</v>
      </c>
      <c r="H9" s="6">
        <f>'Data Sheet'!H27</f>
        <v>59.99</v>
      </c>
      <c r="I9" s="6">
        <f>'Data Sheet'!I27</f>
        <v>77.77</v>
      </c>
      <c r="J9" s="6">
        <f>'Data Sheet'!J27</f>
        <v>39.11</v>
      </c>
      <c r="K9" s="6">
        <f>'Data Sheet'!K27</f>
        <v>45.06</v>
      </c>
      <c r="L9" s="6">
        <f>SUM(Quarters!H9:K9)</f>
        <v>66.900000000000006</v>
      </c>
      <c r="M9" s="6">
        <f>+$L9</f>
        <v>66.900000000000006</v>
      </c>
      <c r="N9" s="6">
        <f>+$L9</f>
        <v>66.900000000000006</v>
      </c>
    </row>
    <row r="10" spans="1:14">
      <c r="A10" t="s">
        <v>12</v>
      </c>
      <c r="B10" s="6">
        <f>'Data Sheet'!B28</f>
        <v>14859.07</v>
      </c>
      <c r="C10" s="6">
        <f>'Data Sheet'!C28</f>
        <v>16026.32</v>
      </c>
      <c r="D10" s="6">
        <f>'Data Sheet'!D28</f>
        <v>17409.11</v>
      </c>
      <c r="E10" s="6">
        <f>'Data Sheet'!E28</f>
        <v>19149.82</v>
      </c>
      <c r="F10" s="6">
        <f>'Data Sheet'!F28</f>
        <v>20034.57</v>
      </c>
      <c r="G10" s="6">
        <f>'Data Sheet'!G28</f>
        <v>17938.169999999998</v>
      </c>
      <c r="H10" s="6">
        <f>'Data Sheet'!H28</f>
        <v>20740.47</v>
      </c>
      <c r="I10" s="6">
        <f>'Data Sheet'!I28</f>
        <v>25915.119999999999</v>
      </c>
      <c r="J10" s="6">
        <f>'Data Sheet'!J28</f>
        <v>26960.82</v>
      </c>
      <c r="K10" s="6">
        <f>'Data Sheet'!K28</f>
        <v>41942.949999999997</v>
      </c>
      <c r="L10" s="6">
        <f>SUM(Quarters!H10:K10)</f>
        <v>42349.5</v>
      </c>
      <c r="M10" s="6">
        <f>M6+M7-SUM(M8:M9)</f>
        <v>28155.444725612233</v>
      </c>
      <c r="N10" s="6">
        <f>N6+N7-SUM(N8:N9)</f>
        <v>25650.538300267544</v>
      </c>
    </row>
    <row r="11" spans="1:14">
      <c r="A11" t="s">
        <v>13</v>
      </c>
      <c r="B11" s="6">
        <f>'Data Sheet'!B29</f>
        <v>5358.21</v>
      </c>
      <c r="C11" s="6">
        <f>'Data Sheet'!C29</f>
        <v>5549.09</v>
      </c>
      <c r="D11" s="6">
        <f>'Data Sheet'!D29</f>
        <v>5916.43</v>
      </c>
      <c r="E11" s="6">
        <f>'Data Sheet'!E29</f>
        <v>6313.92</v>
      </c>
      <c r="F11" s="6">
        <f>'Data Sheet'!F29</f>
        <v>4441.79</v>
      </c>
      <c r="G11" s="6">
        <f>'Data Sheet'!G29</f>
        <v>4555.29</v>
      </c>
      <c r="H11" s="6">
        <f>'Data Sheet'!H29</f>
        <v>5237.34</v>
      </c>
      <c r="I11" s="6">
        <f>'Data Sheet'!I29</f>
        <v>6438.4</v>
      </c>
      <c r="J11" s="6">
        <f>'Data Sheet'!J29</f>
        <v>6209.46</v>
      </c>
      <c r="K11" s="6">
        <f>'Data Sheet'!K29</f>
        <v>6890.47</v>
      </c>
      <c r="L11" s="6">
        <f>SUM(Quarters!H11:K11)</f>
        <v>6993.21</v>
      </c>
      <c r="M11" s="7">
        <f>IF($L10&gt;0,$L11/$L10,0)</f>
        <v>0.16513087521694472</v>
      </c>
      <c r="N11" s="7">
        <f>IF($L10&gt;0,$L11/$L10,0)</f>
        <v>0.16513087521694472</v>
      </c>
    </row>
    <row r="12" spans="1:14" s="2" customFormat="1">
      <c r="A12" s="2" t="s">
        <v>14</v>
      </c>
      <c r="B12" s="1">
        <f>'Data Sheet'!B30</f>
        <v>9344.4500000000007</v>
      </c>
      <c r="C12" s="1">
        <f>'Data Sheet'!C30</f>
        <v>10289.44</v>
      </c>
      <c r="D12" s="1">
        <f>'Data Sheet'!D30</f>
        <v>11271.2</v>
      </c>
      <c r="E12" s="1">
        <f>'Data Sheet'!E30</f>
        <v>12592.33</v>
      </c>
      <c r="F12" s="1">
        <f>'Data Sheet'!F30</f>
        <v>15306.23</v>
      </c>
      <c r="G12" s="1">
        <f>'Data Sheet'!G30</f>
        <v>13161.19</v>
      </c>
      <c r="H12" s="1">
        <f>'Data Sheet'!H30</f>
        <v>15242.66</v>
      </c>
      <c r="I12" s="1">
        <f>'Data Sheet'!I30</f>
        <v>19191.66</v>
      </c>
      <c r="J12" s="1">
        <f>'Data Sheet'!J30</f>
        <v>20458.78</v>
      </c>
      <c r="K12" s="1">
        <f>'Data Sheet'!K30</f>
        <v>34746.629999999997</v>
      </c>
      <c r="L12" s="1">
        <f>SUM(Quarters!H12:K12)</f>
        <v>35028.870000000003</v>
      </c>
      <c r="M12" s="1">
        <f>M10-M11*M10</f>
        <v>23506.111495949575</v>
      </c>
      <c r="N12" s="1">
        <f>N10-N11*N10</f>
        <v>21414.842460958604</v>
      </c>
    </row>
    <row r="13" spans="1:14">
      <c r="A13" t="s">
        <v>57</v>
      </c>
      <c r="B13" s="6">
        <f>IF('Data Sheet'!B93&gt;0,B12/'Data Sheet'!B93,0)</f>
        <v>7.7413675978394147</v>
      </c>
      <c r="C13" s="6">
        <f>IF('Data Sheet'!C93&gt;0,C12/'Data Sheet'!C93,0)</f>
        <v>8.4704875117309051</v>
      </c>
      <c r="D13" s="6">
        <f>IF('Data Sheet'!D93&gt;0,D12/'Data Sheet'!D93,0)</f>
        <v>9.2354334128135172</v>
      </c>
      <c r="E13" s="6">
        <f>IF('Data Sheet'!E93&gt;0,E12/'Data Sheet'!E93,0)</f>
        <v>10.272241528396393</v>
      </c>
      <c r="F13" s="6">
        <f>IF('Data Sheet'!F93&gt;0,F12/'Data Sheet'!F93,0)</f>
        <v>12.451985812141032</v>
      </c>
      <c r="G13" s="6">
        <f>IF('Data Sheet'!G93&gt;0,G12/'Data Sheet'!G93,0)</f>
        <v>10.692504549590536</v>
      </c>
      <c r="H13" s="6">
        <f>IF('Data Sheet'!H93&gt;0,H12/'Data Sheet'!H93,0)</f>
        <v>12.368975842509718</v>
      </c>
      <c r="I13" s="6">
        <f>IF('Data Sheet'!I93&gt;0,I12/'Data Sheet'!I93,0)</f>
        <v>15.442275506919859</v>
      </c>
      <c r="J13" s="6">
        <f>IF('Data Sheet'!J93&gt;0,J12/'Data Sheet'!J93,0)</f>
        <v>16.387081788108645</v>
      </c>
      <c r="K13" s="6">
        <f>IF('Data Sheet'!K93&gt;0,K12/'Data Sheet'!K93,0)</f>
        <v>27.765983970081745</v>
      </c>
      <c r="L13" s="6">
        <f>IF('Data Sheet'!$B6&gt;0,'Profit &amp; Loss'!L12/'Data Sheet'!$B6,0)</f>
        <v>27.957187750005467</v>
      </c>
      <c r="M13" s="6">
        <f>IF('Data Sheet'!$B6&gt;0,'Profit &amp; Loss'!M12/'Data Sheet'!$B6,0)</f>
        <v>18.760661487647877</v>
      </c>
      <c r="N13" s="6">
        <f>IF('Data Sheet'!$B6&gt;0,'Profit &amp; Loss'!N12/'Data Sheet'!$B6,0)</f>
        <v>17.091581067782339</v>
      </c>
    </row>
    <row r="14" spans="1:14">
      <c r="A14" t="s">
        <v>16</v>
      </c>
      <c r="B14" s="6">
        <f>IF(B15&gt;0,B15/B13,"")</f>
        <v>26.49790200600356</v>
      </c>
      <c r="C14" s="6">
        <f t="shared" ref="C14:K14" si="2">IF(C15&gt;0,C15/C13,"")</f>
        <v>31.019466073955435</v>
      </c>
      <c r="D14" s="6">
        <f t="shared" si="2"/>
        <v>25.932729877918941</v>
      </c>
      <c r="E14" s="6">
        <f t="shared" si="2"/>
        <v>27.125530414148926</v>
      </c>
      <c r="F14" s="6">
        <f t="shared" si="2"/>
        <v>12.925649163771876</v>
      </c>
      <c r="G14" s="6">
        <f t="shared" si="2"/>
        <v>19.155474664525016</v>
      </c>
      <c r="H14" s="6">
        <f t="shared" si="2"/>
        <v>18.995913889045614</v>
      </c>
      <c r="I14" s="6">
        <f t="shared" si="2"/>
        <v>23.279600201337455</v>
      </c>
      <c r="J14" s="6">
        <f t="shared" si="2"/>
        <v>24.502837368601647</v>
      </c>
      <c r="K14" s="6">
        <f t="shared" si="2"/>
        <v>14.757265596692401</v>
      </c>
      <c r="L14" s="6">
        <f t="shared" ref="L14" si="3">IF(L13&gt;0,L15/L13,0)</f>
        <v>10.973922081985519</v>
      </c>
      <c r="M14" s="6">
        <f>M25</f>
        <v>18.378406312154254</v>
      </c>
      <c r="N14" s="6">
        <f>N25</f>
        <v>10.973922081985519</v>
      </c>
    </row>
    <row r="15" spans="1:14" s="2" customFormat="1">
      <c r="A15" s="2" t="s">
        <v>58</v>
      </c>
      <c r="B15" s="1">
        <f>'Data Sheet'!B90</f>
        <v>205.13</v>
      </c>
      <c r="C15" s="1">
        <f>'Data Sheet'!C90</f>
        <v>262.75</v>
      </c>
      <c r="D15" s="1">
        <f>'Data Sheet'!D90</f>
        <v>239.5</v>
      </c>
      <c r="E15" s="1">
        <f>'Data Sheet'!E90</f>
        <v>278.64</v>
      </c>
      <c r="F15" s="1">
        <f>'Data Sheet'!F90</f>
        <v>160.94999999999999</v>
      </c>
      <c r="G15" s="1">
        <f>'Data Sheet'!G90</f>
        <v>204.82</v>
      </c>
      <c r="H15" s="1">
        <f>'Data Sheet'!H90</f>
        <v>234.96</v>
      </c>
      <c r="I15" s="1">
        <f>'Data Sheet'!I90</f>
        <v>359.49</v>
      </c>
      <c r="J15" s="1">
        <f>'Data Sheet'!J90</f>
        <v>401.53</v>
      </c>
      <c r="K15" s="1">
        <f>'Data Sheet'!K90</f>
        <v>409.75</v>
      </c>
      <c r="L15" s="1">
        <f>'Data Sheet'!B8</f>
        <v>306.8</v>
      </c>
      <c r="M15" s="8">
        <f>M13*M14</f>
        <v>344.79105950477697</v>
      </c>
      <c r="N15" s="9">
        <f>N13*N14</f>
        <v>187.56167889578225</v>
      </c>
    </row>
    <row r="17" spans="1:14" s="2" customFormat="1">
      <c r="A17" s="2" t="s">
        <v>15</v>
      </c>
    </row>
    <row r="18" spans="1:14">
      <c r="A18" t="s">
        <v>17</v>
      </c>
      <c r="B18" s="5">
        <f>IF('Data Sheet'!B30&gt;0, 'Data Sheet'!B31/'Data Sheet'!B30, 0)</f>
        <v>0.73199813793214152</v>
      </c>
      <c r="C18" s="5">
        <f>IF('Data Sheet'!C30&gt;0, 'Data Sheet'!C31/'Data Sheet'!C30, 0)</f>
        <v>0.56077104293333746</v>
      </c>
      <c r="D18" s="5">
        <f>IF('Data Sheet'!D30&gt;0, 'Data Sheet'!D31/'Data Sheet'!D30, 0)</f>
        <v>0.55763450209383203</v>
      </c>
      <c r="E18" s="5">
        <f>IF('Data Sheet'!E30&gt;0, 'Data Sheet'!E31/'Data Sheet'!E30, 0)</f>
        <v>0.55976137855345276</v>
      </c>
      <c r="F18" s="5">
        <f>IF('Data Sheet'!F30&gt;0, 'Data Sheet'!F31/'Data Sheet'!F30, 0)</f>
        <v>0.8151308323473514</v>
      </c>
      <c r="G18" s="5">
        <f>IF('Data Sheet'!G30&gt;0, 'Data Sheet'!G31/'Data Sheet'!G30, 0)</f>
        <v>1.0053771733407084</v>
      </c>
      <c r="H18" s="5">
        <f>IF('Data Sheet'!H30&gt;0, 'Data Sheet'!H31/'Data Sheet'!H30, 0)</f>
        <v>0.92974585800641096</v>
      </c>
      <c r="I18" s="5">
        <f>IF('Data Sheet'!I30&gt;0, 'Data Sheet'!I31/'Data Sheet'!I30, 0)</f>
        <v>1.0037380820627295</v>
      </c>
      <c r="J18" s="5">
        <f>IF('Data Sheet'!J30&gt;0, 'Data Sheet'!J31/'Data Sheet'!J30, 0)</f>
        <v>0.83907544829163816</v>
      </c>
      <c r="K18" s="5">
        <f>IF('Data Sheet'!K30&gt;0, 'Data Sheet'!K31/'Data Sheet'!K30, 0)</f>
        <v>0.51681932895362803</v>
      </c>
    </row>
    <row r="19" spans="1:14">
      <c r="A19" t="s">
        <v>18</v>
      </c>
      <c r="B19" s="5">
        <f t="shared" ref="B19:L19" si="4">IF(B6&gt;0,B6/B4,0)</f>
        <v>0.37077599822413199</v>
      </c>
      <c r="C19" s="5">
        <f t="shared" ref="C19:K19" si="5">IF(C6&gt;0,C6/C4,0)</f>
        <v>0.36171096811605047</v>
      </c>
      <c r="D19" s="5">
        <f t="shared" si="5"/>
        <v>0.38022998950031928</v>
      </c>
      <c r="E19" s="5">
        <f t="shared" si="5"/>
        <v>0.38348264507056129</v>
      </c>
      <c r="F19" s="5">
        <f t="shared" si="5"/>
        <v>0.39166715599228147</v>
      </c>
      <c r="G19" s="5">
        <f t="shared" si="5"/>
        <v>0.34644058919006154</v>
      </c>
      <c r="H19" s="5">
        <f t="shared" si="5"/>
        <v>0.3400660636555245</v>
      </c>
      <c r="I19" s="5">
        <f t="shared" si="5"/>
        <v>0.36244517162741785</v>
      </c>
      <c r="J19" s="5">
        <f t="shared" si="5"/>
        <v>0.37077595605248426</v>
      </c>
      <c r="K19" s="5">
        <f t="shared" si="5"/>
        <v>0.34304705553418102</v>
      </c>
      <c r="L19" s="5">
        <f t="shared" si="4"/>
        <v>0.33721966722433339</v>
      </c>
    </row>
    <row r="20" spans="1:14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4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4" s="2" customFormat="1">
      <c r="A22" s="11"/>
      <c r="B22" s="12"/>
      <c r="C22" s="12"/>
      <c r="D22" s="12"/>
      <c r="E22" s="12"/>
      <c r="F22" s="12"/>
      <c r="G22" s="12" t="s">
        <v>19</v>
      </c>
      <c r="H22" s="12" t="s">
        <v>65</v>
      </c>
      <c r="I22" s="12" t="s">
        <v>66</v>
      </c>
      <c r="J22" s="12" t="s">
        <v>67</v>
      </c>
      <c r="K22" s="12" t="s">
        <v>68</v>
      </c>
      <c r="L22" s="13" t="s">
        <v>69</v>
      </c>
      <c r="M22" s="13" t="s">
        <v>20</v>
      </c>
      <c r="N22" s="13" t="s">
        <v>21</v>
      </c>
    </row>
    <row r="23" spans="1:14" s="2" customFormat="1">
      <c r="A23"/>
      <c r="B23"/>
      <c r="C23"/>
      <c r="D23"/>
      <c r="E23"/>
      <c r="F23"/>
      <c r="G23" t="s">
        <v>22</v>
      </c>
      <c r="H23" s="5">
        <f>IF(B4=0,"",POWER($K4/B4,1/9)-1)</f>
        <v>7.5290157386170398E-2</v>
      </c>
      <c r="I23" s="5">
        <f>IF(D4=0,"",POWER($K4/D4,1/7)-1)</f>
        <v>8.1772081914101014E-2</v>
      </c>
      <c r="J23" s="5">
        <f>IF(F4=0,"",POWER($K4/F4,1/5)-1)</f>
        <v>8.8083322106701667E-2</v>
      </c>
      <c r="K23" s="5">
        <f>IF(H4=0,"",POWER($K4/H4, 1/3)-1)</f>
        <v>7.4927782346726923E-2</v>
      </c>
      <c r="L23" s="5">
        <f>IF(ISERROR(MAX(IF(J4=0,"",(K4-J4)/J4),IF(K4=0,"",(L4-K4)/K4))),"",MAX(IF(J4=0,"",(K4-J4)/J4),IF(K4=0,"",(L4-K4)/K4)))</f>
        <v>0.10880596078957842</v>
      </c>
      <c r="M23" s="16">
        <f>MAX(K23:L23)</f>
        <v>0.10880596078957842</v>
      </c>
      <c r="N23" s="16">
        <f>MIN(H23:L23)</f>
        <v>7.4927782346726923E-2</v>
      </c>
    </row>
    <row r="24" spans="1:14">
      <c r="G24" t="s">
        <v>18</v>
      </c>
      <c r="H24" s="5">
        <f>IF(SUM(B4:$K$4)=0,"",SUMPRODUCT(B19:$K$19,B4:$K$4)/SUM(B4:$K$4))</f>
        <v>0.36333561776087531</v>
      </c>
      <c r="I24" s="5">
        <f>IF(SUM(E4:$K$4)=0,"",SUMPRODUCT(E19:$K$19,E4:$K$4)/SUM(E4:$K$4))</f>
        <v>0.361068770445239</v>
      </c>
      <c r="J24" s="5">
        <f>IF(SUM(G4:$K$4)=0,"",SUMPRODUCT(G19:$K$19,G4:$K$4)/SUM(G4:$K$4))</f>
        <v>0.35306244239396706</v>
      </c>
      <c r="K24" s="5">
        <f>IF(SUM(I4:$K$4)=0, "", SUMPRODUCT(I19:$K$19,I4:$K$4)/SUM(I4:$K$4))</f>
        <v>0.35826537739283482</v>
      </c>
      <c r="L24" s="5">
        <f>L19</f>
        <v>0.33721966722433339</v>
      </c>
      <c r="M24" s="16">
        <f>MAX(K24:L24)</f>
        <v>0.35826537739283482</v>
      </c>
      <c r="N24" s="16">
        <f>MIN(H24:L24)</f>
        <v>0.33721966722433339</v>
      </c>
    </row>
    <row r="25" spans="1:14">
      <c r="G25" t="s">
        <v>23</v>
      </c>
      <c r="H25" s="6">
        <f>IF(ISERROR(AVERAGEIF(B14:$L14,"&gt;0")),"",AVERAGEIF(B14:$L14,"&gt;0"))</f>
        <v>21.378753757998762</v>
      </c>
      <c r="I25" s="6">
        <f>IF(ISERROR(AVERAGEIF(E14:$L14,"&gt;0")),"",AVERAGEIF(E14:$L14,"&gt;0"))</f>
        <v>18.964524172513556</v>
      </c>
      <c r="J25" s="6">
        <f>IF(ISERROR(AVERAGEIF(G14:$L14,"&gt;0")),"",AVERAGEIF(G14:$L14,"&gt;0"))</f>
        <v>18.610835633697942</v>
      </c>
      <c r="K25" s="6">
        <f>IF(ISERROR(AVERAGEIF(I14:$L14,"&gt;0")),"",AVERAGEIF(I14:$L14,"&gt;0"))</f>
        <v>18.378406312154254</v>
      </c>
      <c r="L25" s="6">
        <f>L14</f>
        <v>10.973922081985519</v>
      </c>
      <c r="M25" s="1">
        <f>MAX(K25:L25)</f>
        <v>18.378406312154254</v>
      </c>
      <c r="N25" s="1">
        <f>MIN(H25:L25)</f>
        <v>10.973922081985519</v>
      </c>
    </row>
    <row r="27" spans="1:14">
      <c r="A27" s="33" t="s">
        <v>96</v>
      </c>
      <c r="C27" s="34">
        <f>C4/B4-1</f>
        <v>9.1230120355888067E-2</v>
      </c>
      <c r="D27" s="34">
        <f t="shared" ref="D27:L27" si="6">D4/C4-1</f>
        <v>1.5931218960147486E-2</v>
      </c>
      <c r="E27" s="34">
        <f t="shared" si="6"/>
        <v>0.11256062863673999</v>
      </c>
      <c r="F27" s="34">
        <f t="shared" si="6"/>
        <v>2.1682439110972673E-2</v>
      </c>
      <c r="G27" s="34">
        <f t="shared" si="6"/>
        <v>-2.6372963308678443E-3</v>
      </c>
      <c r="H27" s="34">
        <f t="shared" si="6"/>
        <v>0.23117497962237188</v>
      </c>
      <c r="I27" s="34">
        <f t="shared" si="6"/>
        <v>0.1694215175842706</v>
      </c>
      <c r="J27" s="34">
        <f t="shared" si="6"/>
        <v>-4.2119724423754779E-2</v>
      </c>
      <c r="K27" s="34">
        <f t="shared" si="6"/>
        <v>0.10880596078957838</v>
      </c>
      <c r="L27" s="34">
        <f t="shared" si="6"/>
        <v>5.9548341855260256E-2</v>
      </c>
    </row>
    <row r="28" spans="1:14">
      <c r="A28" t="s">
        <v>97</v>
      </c>
      <c r="B28">
        <f>SUM('Data Sheet'!B18:B21)</f>
        <v>16112.729999999998</v>
      </c>
      <c r="C28">
        <f>SUM('Data Sheet'!C18:C21)</f>
        <v>17132.25</v>
      </c>
      <c r="D28">
        <f>SUM('Data Sheet'!D18:D21)</f>
        <v>16151.079999999998</v>
      </c>
      <c r="E28">
        <f>SUM('Data Sheet'!E18:E21)</f>
        <v>20444.449999999997</v>
      </c>
      <c r="F28">
        <f>SUM('Data Sheet'!F18:F21)</f>
        <v>21440.87</v>
      </c>
      <c r="G28">
        <f>SUM('Data Sheet'!G18:G21)</f>
        <v>23708.720000000001</v>
      </c>
      <c r="H28">
        <f>SUM('Data Sheet'!H18:H21)</f>
        <v>30534.510000000002</v>
      </c>
      <c r="I28">
        <f>SUM('Data Sheet'!I18:I21)</f>
        <v>33283.090000000004</v>
      </c>
      <c r="J28">
        <f>SUM('Data Sheet'!J18:J21)</f>
        <v>30853</v>
      </c>
      <c r="K28">
        <f>SUM('Data Sheet'!K18:K21)</f>
        <v>36750.729999999996</v>
      </c>
    </row>
    <row r="29" spans="1:14">
      <c r="A29" t="s">
        <v>98</v>
      </c>
      <c r="B29" s="35">
        <f>B4-B28</f>
        <v>23079.370000000003</v>
      </c>
      <c r="C29" s="35">
        <f t="shared" ref="C29:K29" si="7">C4-C28</f>
        <v>25635.35</v>
      </c>
      <c r="D29" s="35">
        <f t="shared" si="7"/>
        <v>27297.860000000004</v>
      </c>
      <c r="E29" s="35">
        <f t="shared" si="7"/>
        <v>27895.130000000005</v>
      </c>
      <c r="F29" s="35">
        <f t="shared" si="7"/>
        <v>27946.829999999998</v>
      </c>
      <c r="G29" s="35">
        <f t="shared" si="7"/>
        <v>25548.729999999996</v>
      </c>
      <c r="H29" s="35">
        <f t="shared" si="7"/>
        <v>30110.03</v>
      </c>
      <c r="I29" s="35">
        <f t="shared" si="7"/>
        <v>37635.939999999995</v>
      </c>
      <c r="J29" s="35">
        <f t="shared" si="7"/>
        <v>37078.94</v>
      </c>
      <c r="K29" s="35">
        <f t="shared" si="7"/>
        <v>38572.61</v>
      </c>
    </row>
    <row r="30" spans="1:14">
      <c r="A30" s="33" t="s">
        <v>99</v>
      </c>
      <c r="B30" s="34">
        <f>B29/B4</f>
        <v>0.58887811574271354</v>
      </c>
      <c r="C30" s="34">
        <f t="shared" ref="C30:K30" si="8">C29/C4</f>
        <v>0.59941053507795616</v>
      </c>
      <c r="D30" s="34">
        <f t="shared" si="8"/>
        <v>0.6282744757409503</v>
      </c>
      <c r="E30" s="34">
        <f t="shared" si="8"/>
        <v>0.57706603987870819</v>
      </c>
      <c r="F30" s="34">
        <f t="shared" si="8"/>
        <v>0.565866197454022</v>
      </c>
      <c r="G30" s="34">
        <f t="shared" si="8"/>
        <v>0.51867747924425645</v>
      </c>
      <c r="H30" s="34">
        <f t="shared" si="8"/>
        <v>0.49650026201864172</v>
      </c>
      <c r="I30" s="34">
        <f t="shared" si="8"/>
        <v>0.53068887152009825</v>
      </c>
      <c r="J30" s="34">
        <f t="shared" si="8"/>
        <v>0.54582483585777175</v>
      </c>
      <c r="K30" s="34">
        <f t="shared" si="8"/>
        <v>0.51209372818571242</v>
      </c>
    </row>
    <row r="32" spans="1:14">
      <c r="A32" t="s">
        <v>102</v>
      </c>
      <c r="B32" s="34">
        <f>B6/B4</f>
        <v>0.37077599822413199</v>
      </c>
      <c r="C32" s="34">
        <f t="shared" ref="C32:K32" si="9">C6/C4</f>
        <v>0.36171096811605047</v>
      </c>
      <c r="D32" s="34">
        <f t="shared" si="9"/>
        <v>0.38022998950031928</v>
      </c>
      <c r="E32" s="34">
        <f t="shared" si="9"/>
        <v>0.38348264507056129</v>
      </c>
      <c r="F32" s="34">
        <f t="shared" si="9"/>
        <v>0.39166715599228147</v>
      </c>
      <c r="G32" s="34">
        <f t="shared" si="9"/>
        <v>0.34644058919006154</v>
      </c>
      <c r="H32" s="34">
        <f t="shared" si="9"/>
        <v>0.3400660636555245</v>
      </c>
      <c r="I32" s="34">
        <f t="shared" si="9"/>
        <v>0.36244517162741785</v>
      </c>
      <c r="J32" s="34">
        <f t="shared" si="9"/>
        <v>0.37077595605248426</v>
      </c>
      <c r="K32" s="34">
        <f t="shared" si="9"/>
        <v>0.34304705553418102</v>
      </c>
    </row>
    <row r="33" spans="1:11">
      <c r="A33" t="s">
        <v>103</v>
      </c>
      <c r="B33" s="35">
        <f>B6-B8</f>
        <v>13454.090000000002</v>
      </c>
      <c r="C33" s="35">
        <f t="shared" ref="C33:K33" si="10">C6-C8</f>
        <v>14316.719999999998</v>
      </c>
      <c r="D33" s="35">
        <f t="shared" si="10"/>
        <v>15284.310000000003</v>
      </c>
      <c r="E33" s="35">
        <f t="shared" si="10"/>
        <v>17140.780000000002</v>
      </c>
      <c r="F33" s="35">
        <f t="shared" si="10"/>
        <v>17698.629999999997</v>
      </c>
      <c r="G33" s="35">
        <f t="shared" si="10"/>
        <v>15419.189999999995</v>
      </c>
      <c r="H33" s="35">
        <f t="shared" si="10"/>
        <v>18890.740000000002</v>
      </c>
      <c r="I33" s="35">
        <f t="shared" si="10"/>
        <v>23895.249999999996</v>
      </c>
      <c r="J33" s="35">
        <f t="shared" si="10"/>
        <v>23669.48</v>
      </c>
      <c r="K33" s="35">
        <f t="shared" si="10"/>
        <v>24193.129999999997</v>
      </c>
    </row>
    <row r="34" spans="1:11">
      <c r="A34" t="s">
        <v>104</v>
      </c>
      <c r="B34" s="34">
        <f>B33/B4</f>
        <v>0.34328576422289192</v>
      </c>
      <c r="C34" s="34">
        <f t="shared" ref="C34:K34" si="11">C33/C4</f>
        <v>0.33475621732339428</v>
      </c>
      <c r="D34" s="34">
        <f t="shared" si="11"/>
        <v>0.35177636094229231</v>
      </c>
      <c r="E34" s="34">
        <f t="shared" si="11"/>
        <v>0.35459099975630737</v>
      </c>
      <c r="F34" s="34">
        <f t="shared" si="11"/>
        <v>0.35836108990700111</v>
      </c>
      <c r="G34" s="34">
        <f t="shared" si="11"/>
        <v>0.31303264785326884</v>
      </c>
      <c r="H34" s="34">
        <f t="shared" si="11"/>
        <v>0.3114994358931571</v>
      </c>
      <c r="I34" s="34">
        <f t="shared" si="11"/>
        <v>0.33693706752616326</v>
      </c>
      <c r="J34" s="34">
        <f t="shared" si="11"/>
        <v>0.34842932499793172</v>
      </c>
      <c r="K34" s="34">
        <f t="shared" si="11"/>
        <v>0.3211903508261848</v>
      </c>
    </row>
    <row r="35" spans="1:11">
      <c r="A35" t="s">
        <v>107</v>
      </c>
      <c r="B35" s="34">
        <f>B12/B4</f>
        <v>0.23842687684507849</v>
      </c>
      <c r="C35" s="34">
        <f t="shared" ref="C35:K35" si="12">C12/C4</f>
        <v>0.2405896052151629</v>
      </c>
      <c r="D35" s="34">
        <f t="shared" si="12"/>
        <v>0.25941254263049918</v>
      </c>
      <c r="E35" s="34">
        <f t="shared" si="12"/>
        <v>0.26049729848707825</v>
      </c>
      <c r="F35" s="34">
        <f t="shared" si="12"/>
        <v>0.30991987883622846</v>
      </c>
      <c r="G35" s="34">
        <f t="shared" si="12"/>
        <v>0.26719186640802561</v>
      </c>
      <c r="H35" s="34">
        <f t="shared" si="12"/>
        <v>0.25134430898478244</v>
      </c>
      <c r="I35" s="34">
        <f t="shared" si="12"/>
        <v>0.27061368436652333</v>
      </c>
      <c r="J35" s="34">
        <f t="shared" si="12"/>
        <v>0.30116584334261615</v>
      </c>
      <c r="K35" s="34">
        <f t="shared" si="12"/>
        <v>0.46129964497060272</v>
      </c>
    </row>
    <row r="37" spans="1:11">
      <c r="A37" t="s">
        <v>111</v>
      </c>
      <c r="C37" s="34">
        <f>C13/B13-1</f>
        <v>9.4184897523143629E-2</v>
      </c>
      <c r="D37" s="34">
        <f t="shared" ref="D37:K37" si="13">D13/C13-1</f>
        <v>9.030718716286712E-2</v>
      </c>
      <c r="E37" s="34">
        <f t="shared" si="13"/>
        <v>0.11226415363943576</v>
      </c>
      <c r="F37" s="34">
        <f t="shared" si="13"/>
        <v>0.21219753037533184</v>
      </c>
      <c r="G37" s="34">
        <f t="shared" si="13"/>
        <v>-0.14130125821657724</v>
      </c>
      <c r="H37" s="34">
        <f t="shared" si="13"/>
        <v>0.15678939252669122</v>
      </c>
      <c r="I37" s="34">
        <f t="shared" si="13"/>
        <v>0.24846840219768396</v>
      </c>
      <c r="J37" s="34">
        <f t="shared" si="13"/>
        <v>6.1183099651693551E-2</v>
      </c>
      <c r="K37" s="34">
        <f t="shared" si="13"/>
        <v>0.69438246108164581</v>
      </c>
    </row>
    <row r="38" spans="1:11">
      <c r="A38" t="s">
        <v>112</v>
      </c>
      <c r="B38" s="35">
        <f>B13*B18</f>
        <v>5.666666666666667</v>
      </c>
      <c r="C38" s="35">
        <f t="shared" ref="C38:K38" si="14">C13*C18</f>
        <v>4.7500041161071502</v>
      </c>
      <c r="D38" s="35">
        <f t="shared" si="14"/>
        <v>5.1499963127750057</v>
      </c>
      <c r="E38" s="35">
        <f t="shared" si="14"/>
        <v>5.7500040787691908</v>
      </c>
      <c r="F38" s="35">
        <f t="shared" si="14"/>
        <v>10.149997559427931</v>
      </c>
      <c r="G38" s="35">
        <f t="shared" si="14"/>
        <v>10.749999999999998</v>
      </c>
      <c r="H38" s="35">
        <f t="shared" si="14"/>
        <v>11.500004057354767</v>
      </c>
      <c r="I38" s="35">
        <f t="shared" si="14"/>
        <v>15.500000000000004</v>
      </c>
      <c r="J38" s="35">
        <f t="shared" si="14"/>
        <v>13.749997997549</v>
      </c>
      <c r="K38" s="35">
        <f t="shared" si="14"/>
        <v>14.349997203154841</v>
      </c>
    </row>
    <row r="39" spans="1:11">
      <c r="A39" t="s">
        <v>113</v>
      </c>
      <c r="C39" s="34">
        <f>C38/B38-1</f>
        <v>-0.16176397951050292</v>
      </c>
      <c r="D39" s="34">
        <f t="shared" ref="D39:K39" si="15">D38/C38-1</f>
        <v>8.4208810537972356E-2</v>
      </c>
      <c r="E39" s="34">
        <f t="shared" si="15"/>
        <v>0.11650644574362401</v>
      </c>
      <c r="F39" s="34">
        <f t="shared" si="15"/>
        <v>0.76521571469921024</v>
      </c>
      <c r="G39" s="34">
        <f t="shared" si="15"/>
        <v>5.9113555156941722E-2</v>
      </c>
      <c r="H39" s="34">
        <f t="shared" si="15"/>
        <v>6.9767819288815591E-2</v>
      </c>
      <c r="I39" s="34">
        <f t="shared" si="15"/>
        <v>0.34782561142550739</v>
      </c>
      <c r="J39" s="34">
        <f t="shared" si="15"/>
        <v>-0.1129033549968389</v>
      </c>
      <c r="K39" s="34">
        <f t="shared" si="15"/>
        <v>4.3636312217121276E-2</v>
      </c>
    </row>
    <row r="41" spans="1:11">
      <c r="A41" t="s">
        <v>119</v>
      </c>
      <c r="B41" s="41">
        <f>'Data Sheet'!B93*'Data Sheet'!B90</f>
        <v>247608.32039999997</v>
      </c>
      <c r="C41" s="41">
        <f>'Data Sheet'!C93*'Data Sheet'!C90</f>
        <v>319172.935</v>
      </c>
      <c r="D41" s="41">
        <f>'Data Sheet'!D93*'Data Sheet'!D90</f>
        <v>292292.98500000004</v>
      </c>
      <c r="E41" s="41">
        <f>'Data Sheet'!E93*'Data Sheet'!E90</f>
        <v>341573.63039999997</v>
      </c>
      <c r="F41" s="41">
        <f>'Data Sheet'!F93*'Data Sheet'!F90</f>
        <v>197842.959</v>
      </c>
      <c r="G41" s="41">
        <f>'Data Sheet'!G93*'Data Sheet'!G90</f>
        <v>252108.84160000001</v>
      </c>
      <c r="H41" s="41">
        <f>'Data Sheet'!H93*'Data Sheet'!H90</f>
        <v>289548.25679999997</v>
      </c>
      <c r="I41" s="41">
        <f>'Data Sheet'!I93*'Data Sheet'!I90</f>
        <v>446774.17200000002</v>
      </c>
      <c r="J41" s="41">
        <f>'Data Sheet'!J93*'Data Sheet'!J90</f>
        <v>501298.15909999999</v>
      </c>
      <c r="K41" s="41">
        <f>'Data Sheet'!K93*'Data Sheet'!K90</f>
        <v>512765.24750000006</v>
      </c>
    </row>
    <row r="42" spans="1:11">
      <c r="A42" t="s">
        <v>120</v>
      </c>
      <c r="B42">
        <f>'Data Sheet'!B59</f>
        <v>83.78</v>
      </c>
      <c r="C42">
        <f>'Data Sheet'!C59</f>
        <v>45.72</v>
      </c>
      <c r="D42">
        <f>'Data Sheet'!D59</f>
        <v>35.92</v>
      </c>
      <c r="E42">
        <f>'Data Sheet'!E59</f>
        <v>13.44</v>
      </c>
      <c r="F42">
        <f>'Data Sheet'!F59</f>
        <v>277.45</v>
      </c>
      <c r="G42">
        <f>'Data Sheet'!G59</f>
        <v>270.83</v>
      </c>
      <c r="H42">
        <f>'Data Sheet'!H59</f>
        <v>249.44</v>
      </c>
      <c r="I42">
        <f>'Data Sheet'!I59</f>
        <v>306.04000000000002</v>
      </c>
      <c r="J42">
        <f>'Data Sheet'!J59</f>
        <v>303.43</v>
      </c>
      <c r="K42">
        <f>'Data Sheet'!K59</f>
        <v>284.54000000000002</v>
      </c>
    </row>
    <row r="43" spans="1:11">
      <c r="A43" t="s">
        <v>121</v>
      </c>
      <c r="B43" s="41">
        <f>'Data Sheet'!B69</f>
        <v>6063.3</v>
      </c>
      <c r="C43" s="41">
        <f>'Data Sheet'!C69</f>
        <v>2967.4</v>
      </c>
      <c r="D43" s="41">
        <f>'Data Sheet'!D69</f>
        <v>2899.6</v>
      </c>
      <c r="E43" s="41">
        <f>'Data Sheet'!E69</f>
        <v>4152.03</v>
      </c>
      <c r="F43" s="41">
        <f>'Data Sheet'!F69</f>
        <v>7277.34</v>
      </c>
      <c r="G43" s="41">
        <f>'Data Sheet'!G69</f>
        <v>4659.0200000000004</v>
      </c>
      <c r="H43" s="41">
        <f>'Data Sheet'!H69</f>
        <v>4654.42</v>
      </c>
      <c r="I43" s="41">
        <f>'Data Sheet'!I69</f>
        <v>4880.1899999999996</v>
      </c>
      <c r="J43" s="41">
        <f>'Data Sheet'!J69</f>
        <v>7217.68</v>
      </c>
      <c r="K43" s="41">
        <f>'Data Sheet'!K69</f>
        <v>4012.36</v>
      </c>
    </row>
    <row r="44" spans="1:11">
      <c r="A44" t="s">
        <v>122</v>
      </c>
      <c r="B44" s="41">
        <f>B41+B42-B43</f>
        <v>241628.80039999998</v>
      </c>
      <c r="C44" s="41">
        <f t="shared" ref="C44:K44" si="16">C41+C42-C43</f>
        <v>316251.25499999995</v>
      </c>
      <c r="D44" s="41">
        <f t="shared" si="16"/>
        <v>289429.30500000005</v>
      </c>
      <c r="E44" s="41">
        <f t="shared" si="16"/>
        <v>337435.04039999994</v>
      </c>
      <c r="F44" s="41">
        <f t="shared" si="16"/>
        <v>190843.06900000002</v>
      </c>
      <c r="G44" s="41">
        <f t="shared" si="16"/>
        <v>247720.65160000001</v>
      </c>
      <c r="H44" s="41">
        <f t="shared" si="16"/>
        <v>285143.27679999999</v>
      </c>
      <c r="I44" s="41">
        <f t="shared" si="16"/>
        <v>442200.022</v>
      </c>
      <c r="J44" s="41">
        <f t="shared" si="16"/>
        <v>494383.90909999999</v>
      </c>
      <c r="K44" s="41">
        <f t="shared" si="16"/>
        <v>509037.42750000005</v>
      </c>
    </row>
    <row r="46" spans="1:11">
      <c r="A46" t="s">
        <v>123</v>
      </c>
      <c r="B46" s="35">
        <f>B44/B6</f>
        <v>16.627943892883657</v>
      </c>
      <c r="C46" s="35">
        <f t="shared" ref="C46:K46" si="17">C44/C6</f>
        <v>20.443521158718021</v>
      </c>
      <c r="D46" s="35">
        <f t="shared" si="17"/>
        <v>17.519308027134624</v>
      </c>
      <c r="E46" s="35">
        <f t="shared" si="17"/>
        <v>18.202942291228695</v>
      </c>
      <c r="F46" s="35">
        <f t="shared" si="17"/>
        <v>9.8659846646477352</v>
      </c>
      <c r="G46" s="35">
        <f t="shared" si="17"/>
        <v>14.516486681926171</v>
      </c>
      <c r="H46" s="35">
        <f t="shared" si="17"/>
        <v>13.826368755500493</v>
      </c>
      <c r="I46" s="35">
        <f t="shared" si="17"/>
        <v>17.203374926957636</v>
      </c>
      <c r="J46" s="35">
        <f t="shared" si="17"/>
        <v>19.628121896033473</v>
      </c>
      <c r="K46" s="35">
        <f t="shared" si="17"/>
        <v>19.700010158884965</v>
      </c>
    </row>
    <row r="47" spans="1:11">
      <c r="A47" t="s">
        <v>124</v>
      </c>
      <c r="B47" s="35">
        <f>B44/B4</f>
        <v>6.1652424952987968</v>
      </c>
      <c r="C47" s="35">
        <f t="shared" ref="C47:K47" si="18">C44/C4</f>
        <v>7.3946458300208562</v>
      </c>
      <c r="D47" s="35">
        <f t="shared" si="18"/>
        <v>6.6613663072102574</v>
      </c>
      <c r="E47" s="35">
        <f t="shared" si="18"/>
        <v>6.9805124579071629</v>
      </c>
      <c r="F47" s="35">
        <f t="shared" si="18"/>
        <v>3.8641821546660409</v>
      </c>
      <c r="G47" s="35">
        <f t="shared" si="18"/>
        <v>5.0291001990561837</v>
      </c>
      <c r="H47" s="35">
        <f t="shared" si="18"/>
        <v>4.7018787973327854</v>
      </c>
      <c r="I47" s="35">
        <f t="shared" si="18"/>
        <v>6.2352801779719771</v>
      </c>
      <c r="J47" s="35">
        <f t="shared" si="18"/>
        <v>7.2776356615165119</v>
      </c>
      <c r="K47" s="35">
        <f t="shared" si="18"/>
        <v>6.7580304789989407</v>
      </c>
    </row>
    <row r="49" spans="1:11">
      <c r="A49" t="s">
        <v>126</v>
      </c>
      <c r="B49" s="36">
        <f>B41/'Balance Sheet'!B26</f>
        <v>5.8015722857239247</v>
      </c>
      <c r="C49" s="36">
        <f>C41/'Balance Sheet'!C26</f>
        <v>6.8768107292515257</v>
      </c>
      <c r="D49" s="36">
        <f>D41/'Balance Sheet'!D26</f>
        <v>5.5664134963724132</v>
      </c>
      <c r="E49" s="36">
        <f>E41/'Balance Sheet'!E26</f>
        <v>5.7755936021908356</v>
      </c>
      <c r="F49" s="36">
        <f>F41/'Balance Sheet'!F26</f>
        <v>3.0309955255796939</v>
      </c>
      <c r="G49" s="36">
        <f>G41/'Balance Sheet'!G26</f>
        <v>4.177629728170289</v>
      </c>
      <c r="H49" s="36">
        <f>H41/'Balance Sheet'!H26</f>
        <v>4.6360677966753006</v>
      </c>
      <c r="I49" s="36">
        <f>I41/'Balance Sheet'!I26</f>
        <v>6.4604510488428497</v>
      </c>
      <c r="J49" s="36">
        <f>J41/'Balance Sheet'!J26</f>
        <v>6.728202170265881</v>
      </c>
      <c r="K49" s="36">
        <f>K41/'Balance Sheet'!K26</f>
        <v>7.3220745594212779</v>
      </c>
    </row>
  </sheetData>
  <hyperlinks>
    <hyperlink ref="M1" r:id="rId1" xr:uid="{00000000-0004-0000-0000-000000000000}"/>
  </hyperlinks>
  <printOptions gridLines="1"/>
  <pageMargins left="0.7" right="0.7" top="0.75" bottom="0.75" header="0.3" footer="0.3"/>
  <pageSetup paperSize="9" orientation="landscape" horizontalDpi="300" verticalDpi="300" r:id="rId2"/>
  <ignoredErrors>
    <ignoredError sqref="B28:K28" formulaRange="1"/>
  </ignoredError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K22"/>
  <sheetViews>
    <sheetView zoomScale="150"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K5" sqref="K5"/>
    </sheetView>
  </sheetViews>
  <sheetFormatPr baseColWidth="10" defaultColWidth="8.83203125" defaultRowHeight="15"/>
  <cols>
    <col min="1" max="1" width="20.6640625" customWidth="1"/>
    <col min="2" max="11" width="13.5" bestFit="1" customWidth="1"/>
  </cols>
  <sheetData>
    <row r="1" spans="1:11" s="2" customFormat="1">
      <c r="A1" s="2" t="str">
        <f>'Profit &amp; Loss'!A1</f>
        <v>ITC LTD</v>
      </c>
      <c r="E1" t="str">
        <f>UPDATE</f>
        <v/>
      </c>
      <c r="J1" s="2" t="s">
        <v>1</v>
      </c>
    </row>
    <row r="3" spans="1:11" s="2" customFormat="1">
      <c r="A3" s="11" t="s">
        <v>2</v>
      </c>
      <c r="B3" s="12">
        <f>'Data Sheet'!B41</f>
        <v>45199</v>
      </c>
      <c r="C3" s="12">
        <f>'Data Sheet'!C41</f>
        <v>45291</v>
      </c>
      <c r="D3" s="12">
        <f>'Data Sheet'!D41</f>
        <v>45382</v>
      </c>
      <c r="E3" s="12">
        <f>'Data Sheet'!E41</f>
        <v>45473</v>
      </c>
      <c r="F3" s="12">
        <f>'Data Sheet'!F41</f>
        <v>45565</v>
      </c>
      <c r="G3" s="12">
        <f>'Data Sheet'!G41</f>
        <v>45657</v>
      </c>
      <c r="H3" s="12">
        <f>'Data Sheet'!H41</f>
        <v>45747</v>
      </c>
      <c r="I3" s="12">
        <f>'Data Sheet'!I41</f>
        <v>45838</v>
      </c>
      <c r="J3" s="12">
        <f>'Data Sheet'!J41</f>
        <v>45930</v>
      </c>
      <c r="K3" s="12">
        <f>'Data Sheet'!K41</f>
        <v>46022</v>
      </c>
    </row>
    <row r="4" spans="1:11" s="2" customFormat="1">
      <c r="A4" s="2" t="s">
        <v>6</v>
      </c>
      <c r="B4" s="1">
        <f>'Data Sheet'!B42</f>
        <v>17774.47</v>
      </c>
      <c r="C4" s="1">
        <f>'Data Sheet'!C42</f>
        <v>17195.240000000002</v>
      </c>
      <c r="D4" s="1">
        <f>'Data Sheet'!D42</f>
        <v>17037.8</v>
      </c>
      <c r="E4" s="1">
        <f>'Data Sheet'!E42</f>
        <v>17777.810000000001</v>
      </c>
      <c r="F4" s="1">
        <f>'Data Sheet'!F42</f>
        <v>19990.36</v>
      </c>
      <c r="G4" s="1">
        <f>'Data Sheet'!G42</f>
        <v>18790.169999999998</v>
      </c>
      <c r="H4" s="1">
        <f>'Data Sheet'!H42</f>
        <v>18765</v>
      </c>
      <c r="I4" s="1">
        <f>'Data Sheet'!I42</f>
        <v>21494.79</v>
      </c>
      <c r="J4" s="1">
        <f>'Data Sheet'!J42</f>
        <v>19501.63</v>
      </c>
      <c r="K4" s="1">
        <f>'Data Sheet'!K42</f>
        <v>20047.3</v>
      </c>
    </row>
    <row r="5" spans="1:11">
      <c r="A5" t="s">
        <v>7</v>
      </c>
      <c r="B5" s="6">
        <f>'Data Sheet'!B43</f>
        <v>11320.23</v>
      </c>
      <c r="C5" s="6">
        <f>'Data Sheet'!C43</f>
        <v>10985.01</v>
      </c>
      <c r="D5" s="6">
        <f>'Data Sheet'!D43</f>
        <v>10735.73</v>
      </c>
      <c r="E5" s="6">
        <f>'Data Sheet'!E43</f>
        <v>11232.97</v>
      </c>
      <c r="F5" s="6">
        <f>'Data Sheet'!F43</f>
        <v>13438.28</v>
      </c>
      <c r="G5" s="6">
        <f>'Data Sheet'!G43</f>
        <v>12428.27</v>
      </c>
      <c r="H5" s="6">
        <f>'Data Sheet'!H43</f>
        <v>12245.61</v>
      </c>
      <c r="I5" s="6">
        <f>'Data Sheet'!I43</f>
        <v>14678.32</v>
      </c>
      <c r="J5" s="6">
        <f>'Data Sheet'!J43</f>
        <v>12806.94</v>
      </c>
      <c r="K5" s="6">
        <f>'Data Sheet'!K43</f>
        <v>13164.78</v>
      </c>
    </row>
    <row r="6" spans="1:11" s="2" customFormat="1">
      <c r="A6" s="2" t="s">
        <v>8</v>
      </c>
      <c r="B6" s="1">
        <f>'Data Sheet'!B50</f>
        <v>6454.24</v>
      </c>
      <c r="C6" s="1">
        <f>'Data Sheet'!C50</f>
        <v>6210.23</v>
      </c>
      <c r="D6" s="1">
        <f>'Data Sheet'!D50</f>
        <v>6302.07</v>
      </c>
      <c r="E6" s="1">
        <f>'Data Sheet'!E50</f>
        <v>6544.84</v>
      </c>
      <c r="F6" s="1">
        <f>'Data Sheet'!F50</f>
        <v>6552.08</v>
      </c>
      <c r="G6" s="1">
        <f>'Data Sheet'!G50</f>
        <v>6361.9</v>
      </c>
      <c r="H6" s="1">
        <f>'Data Sheet'!H50</f>
        <v>6519.39</v>
      </c>
      <c r="I6" s="1">
        <f>'Data Sheet'!I50</f>
        <v>6816.47</v>
      </c>
      <c r="J6" s="1">
        <f>'Data Sheet'!J50</f>
        <v>6694.69</v>
      </c>
      <c r="K6" s="1">
        <f>'Data Sheet'!K50</f>
        <v>6882.52</v>
      </c>
    </row>
    <row r="7" spans="1:11">
      <c r="A7" t="s">
        <v>9</v>
      </c>
      <c r="B7" s="6">
        <f>'Data Sheet'!B44</f>
        <v>673.5</v>
      </c>
      <c r="C7" s="6">
        <f>'Data Sheet'!C44</f>
        <v>820.26</v>
      </c>
      <c r="D7" s="6">
        <f>'Data Sheet'!D44</f>
        <v>868</v>
      </c>
      <c r="E7" s="6">
        <f>'Data Sheet'!E44</f>
        <v>771.13</v>
      </c>
      <c r="F7" s="6">
        <f>'Data Sheet'!F44</f>
        <v>690.31</v>
      </c>
      <c r="G7" s="6">
        <f>'Data Sheet'!G44</f>
        <v>803.4</v>
      </c>
      <c r="H7" s="6">
        <f>'Data Sheet'!H44</f>
        <v>15391.28</v>
      </c>
      <c r="I7" s="6">
        <f>'Data Sheet'!I44</f>
        <v>750.97</v>
      </c>
      <c r="J7" s="6">
        <f>'Data Sheet'!J44</f>
        <v>738.84</v>
      </c>
      <c r="K7" s="6">
        <f>'Data Sheet'!K44</f>
        <v>321.85000000000002</v>
      </c>
    </row>
    <row r="8" spans="1:11">
      <c r="A8" t="s">
        <v>10</v>
      </c>
      <c r="B8" s="6">
        <f>'Data Sheet'!B45</f>
        <v>453.04</v>
      </c>
      <c r="C8" s="6">
        <f>'Data Sheet'!C45</f>
        <v>384.04</v>
      </c>
      <c r="D8" s="6">
        <f>'Data Sheet'!D45</f>
        <v>385.09</v>
      </c>
      <c r="E8" s="6">
        <f>'Data Sheet'!E45</f>
        <v>403.13</v>
      </c>
      <c r="F8" s="6">
        <f>'Data Sheet'!F45</f>
        <v>416.18</v>
      </c>
      <c r="G8" s="6">
        <f>'Data Sheet'!G45</f>
        <v>415.98</v>
      </c>
      <c r="H8" s="6">
        <f>'Data Sheet'!H45</f>
        <v>411.03</v>
      </c>
      <c r="I8" s="6">
        <f>'Data Sheet'!I45</f>
        <v>422.96</v>
      </c>
      <c r="J8" s="6">
        <f>'Data Sheet'!J45</f>
        <v>434.8</v>
      </c>
      <c r="K8" s="6">
        <f>'Data Sheet'!K45</f>
        <v>430.82</v>
      </c>
    </row>
    <row r="9" spans="1:11">
      <c r="A9" t="s">
        <v>11</v>
      </c>
      <c r="B9" s="6">
        <f>'Data Sheet'!B46</f>
        <v>9.8699999999999992</v>
      </c>
      <c r="C9" s="6">
        <f>'Data Sheet'!C46</f>
        <v>11.94</v>
      </c>
      <c r="D9" s="6">
        <f>'Data Sheet'!D46</f>
        <v>10.72</v>
      </c>
      <c r="E9" s="6">
        <f>'Data Sheet'!E46</f>
        <v>9.6</v>
      </c>
      <c r="F9" s="6">
        <f>'Data Sheet'!F46</f>
        <v>14.73</v>
      </c>
      <c r="G9" s="6">
        <f>'Data Sheet'!G46</f>
        <v>9.82</v>
      </c>
      <c r="H9" s="6">
        <f>'Data Sheet'!H46</f>
        <v>10.91</v>
      </c>
      <c r="I9" s="6">
        <f>'Data Sheet'!I46</f>
        <v>16.47</v>
      </c>
      <c r="J9" s="6">
        <f>'Data Sheet'!J46</f>
        <v>20.05</v>
      </c>
      <c r="K9" s="6">
        <f>'Data Sheet'!K46</f>
        <v>19.47</v>
      </c>
    </row>
    <row r="10" spans="1:11">
      <c r="A10" t="s">
        <v>12</v>
      </c>
      <c r="B10" s="6">
        <f>'Data Sheet'!B47</f>
        <v>6664.83</v>
      </c>
      <c r="C10" s="6">
        <f>'Data Sheet'!C47</f>
        <v>6634.51</v>
      </c>
      <c r="D10" s="6">
        <f>'Data Sheet'!D47</f>
        <v>6774.26</v>
      </c>
      <c r="E10" s="6">
        <f>'Data Sheet'!E47</f>
        <v>6903.24</v>
      </c>
      <c r="F10" s="6">
        <f>'Data Sheet'!F47</f>
        <v>6811.48</v>
      </c>
      <c r="G10" s="6">
        <f>'Data Sheet'!G47</f>
        <v>6739.5</v>
      </c>
      <c r="H10" s="6">
        <f>'Data Sheet'!H47</f>
        <v>21488.73</v>
      </c>
      <c r="I10" s="6">
        <f>'Data Sheet'!I47</f>
        <v>7128.01</v>
      </c>
      <c r="J10" s="6">
        <f>'Data Sheet'!J47</f>
        <v>6978.68</v>
      </c>
      <c r="K10" s="6">
        <f>'Data Sheet'!K47</f>
        <v>6754.08</v>
      </c>
    </row>
    <row r="11" spans="1:11">
      <c r="A11" t="s">
        <v>13</v>
      </c>
      <c r="B11" s="6">
        <f>'Data Sheet'!B48</f>
        <v>1700.31</v>
      </c>
      <c r="C11" s="6">
        <f>'Data Sheet'!C48</f>
        <v>1227.99</v>
      </c>
      <c r="D11" s="6">
        <f>'Data Sheet'!D48</f>
        <v>1583.55</v>
      </c>
      <c r="E11" s="6">
        <f>'Data Sheet'!E48</f>
        <v>1726.25</v>
      </c>
      <c r="F11" s="6">
        <f>'Data Sheet'!F48</f>
        <v>1757.05</v>
      </c>
      <c r="G11" s="6">
        <f>'Data Sheet'!G48</f>
        <v>1726.32</v>
      </c>
      <c r="H11" s="6">
        <f>'Data Sheet'!H48</f>
        <v>1680.85</v>
      </c>
      <c r="I11" s="6">
        <f>'Data Sheet'!I48</f>
        <v>1784.6</v>
      </c>
      <c r="J11" s="6">
        <f>'Data Sheet'!J48</f>
        <v>1792.13</v>
      </c>
      <c r="K11" s="6">
        <f>'Data Sheet'!K48</f>
        <v>1735.63</v>
      </c>
    </row>
    <row r="12" spans="1:11" s="2" customFormat="1">
      <c r="A12" s="2" t="s">
        <v>14</v>
      </c>
      <c r="B12" s="1">
        <f>'Data Sheet'!B49</f>
        <v>4898.07</v>
      </c>
      <c r="C12" s="1">
        <f>'Data Sheet'!C49</f>
        <v>5335.23</v>
      </c>
      <c r="D12" s="1">
        <f>'Data Sheet'!D49</f>
        <v>5120.55</v>
      </c>
      <c r="E12" s="1">
        <f>'Data Sheet'!E49</f>
        <v>5091.59</v>
      </c>
      <c r="F12" s="1">
        <f>'Data Sheet'!F49</f>
        <v>4992.87</v>
      </c>
      <c r="G12" s="1">
        <f>'Data Sheet'!G49</f>
        <v>4934.8</v>
      </c>
      <c r="H12" s="1">
        <f>'Data Sheet'!H49</f>
        <v>19727.37</v>
      </c>
      <c r="I12" s="1">
        <f>'Data Sheet'!I49</f>
        <v>5244.2</v>
      </c>
      <c r="J12" s="1">
        <f>'Data Sheet'!J49</f>
        <v>5126.1099999999997</v>
      </c>
      <c r="K12" s="1">
        <f>'Data Sheet'!K49</f>
        <v>4931.1899999999996</v>
      </c>
    </row>
    <row r="14" spans="1:11" s="2" customFormat="1">
      <c r="A14" s="2" t="s">
        <v>18</v>
      </c>
      <c r="B14" s="10">
        <f>IF(B4&gt;0,B6/B4,"")</f>
        <v>0.3631185627475812</v>
      </c>
      <c r="C14" s="10">
        <f t="shared" ref="C14:K14" si="0">IF(C4&gt;0,C6/C4,"")</f>
        <v>0.36115983260483708</v>
      </c>
      <c r="D14" s="10">
        <f t="shared" si="0"/>
        <v>0.36988754416650038</v>
      </c>
      <c r="E14" s="10">
        <f t="shared" si="0"/>
        <v>0.36814658273431877</v>
      </c>
      <c r="F14" s="10">
        <f t="shared" si="0"/>
        <v>0.32776198127497452</v>
      </c>
      <c r="G14" s="10">
        <f t="shared" si="0"/>
        <v>0.3385759681791064</v>
      </c>
      <c r="H14" s="10">
        <f t="shared" si="0"/>
        <v>0.34742286171063153</v>
      </c>
      <c r="I14" s="10">
        <f t="shared" si="0"/>
        <v>0.31712196304313744</v>
      </c>
      <c r="J14" s="10">
        <f t="shared" si="0"/>
        <v>0.34328874047964192</v>
      </c>
      <c r="K14" s="10">
        <f t="shared" si="0"/>
        <v>0.34331406224279581</v>
      </c>
    </row>
    <row r="22" s="23" customFormat="1"/>
  </sheetData>
  <hyperlinks>
    <hyperlink ref="J1" r:id="rId1" xr:uid="{00000000-0004-0000-0100-000000000000}"/>
  </hyperlinks>
  <printOptions gridLines="1"/>
  <pageMargins left="0.7" right="0.7" top="0.75" bottom="0.75" header="0.3" footer="0.3"/>
  <pageSetup paperSize="9" scale="83" orientation="landscape" horizontalDpi="300" verticalDpi="300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K26"/>
  <sheetViews>
    <sheetView zoomScale="125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B26" sqref="B26:K26"/>
    </sheetView>
  </sheetViews>
  <sheetFormatPr baseColWidth="10" defaultColWidth="8.83203125" defaultRowHeight="15"/>
  <cols>
    <col min="1" max="1" width="22.83203125" bestFit="1" customWidth="1"/>
    <col min="2" max="2" width="13.5" customWidth="1"/>
    <col min="3" max="11" width="15.5" customWidth="1"/>
  </cols>
  <sheetData>
    <row r="1" spans="1:11" s="2" customFormat="1">
      <c r="A1" s="2" t="str">
        <f>'Profit &amp; Loss'!A1</f>
        <v>ITC LTD</v>
      </c>
      <c r="E1" t="str">
        <f>UPDATE</f>
        <v/>
      </c>
      <c r="G1"/>
      <c r="J1" s="2" t="s">
        <v>1</v>
      </c>
    </row>
    <row r="2" spans="1:11">
      <c r="G2" s="2"/>
      <c r="H2" s="2"/>
    </row>
    <row r="3" spans="1:11">
      <c r="A3" s="11" t="s">
        <v>2</v>
      </c>
      <c r="B3" s="12">
        <f>'Data Sheet'!B56</f>
        <v>42460</v>
      </c>
      <c r="C3" s="12">
        <f>'Data Sheet'!C56</f>
        <v>42825</v>
      </c>
      <c r="D3" s="12">
        <f>'Data Sheet'!D56</f>
        <v>43190</v>
      </c>
      <c r="E3" s="12">
        <f>'Data Sheet'!E56</f>
        <v>43555</v>
      </c>
      <c r="F3" s="12">
        <f>'Data Sheet'!F56</f>
        <v>43921</v>
      </c>
      <c r="G3" s="12">
        <f>'Data Sheet'!G56</f>
        <v>44286</v>
      </c>
      <c r="H3" s="12">
        <f>'Data Sheet'!H56</f>
        <v>44651</v>
      </c>
      <c r="I3" s="12">
        <f>'Data Sheet'!I56</f>
        <v>45016</v>
      </c>
      <c r="J3" s="12">
        <f>'Data Sheet'!J56</f>
        <v>45382</v>
      </c>
      <c r="K3" s="12">
        <f>'Data Sheet'!K56</f>
        <v>45747</v>
      </c>
    </row>
    <row r="4" spans="1:11">
      <c r="A4" t="s">
        <v>24</v>
      </c>
      <c r="B4" s="14">
        <f>'Data Sheet'!B57</f>
        <v>804.72</v>
      </c>
      <c r="C4" s="14">
        <f>'Data Sheet'!C57</f>
        <v>1214.74</v>
      </c>
      <c r="D4" s="14">
        <f>'Data Sheet'!D57</f>
        <v>1220.43</v>
      </c>
      <c r="E4" s="14">
        <f>'Data Sheet'!E57</f>
        <v>1225.8599999999999</v>
      </c>
      <c r="F4" s="14">
        <f>'Data Sheet'!F57</f>
        <v>1229.22</v>
      </c>
      <c r="G4" s="14">
        <f>'Data Sheet'!G57</f>
        <v>1230.8800000000001</v>
      </c>
      <c r="H4" s="14">
        <f>'Data Sheet'!H57</f>
        <v>1232.33</v>
      </c>
      <c r="I4" s="14">
        <f>'Data Sheet'!I57</f>
        <v>1242.8</v>
      </c>
      <c r="J4" s="14">
        <f>'Data Sheet'!J57</f>
        <v>1248.47</v>
      </c>
      <c r="K4" s="14">
        <f>'Data Sheet'!K57</f>
        <v>1251.4100000000001</v>
      </c>
    </row>
    <row r="5" spans="1:11">
      <c r="A5" t="s">
        <v>25</v>
      </c>
      <c r="B5" s="14">
        <f>'Data Sheet'!B58</f>
        <v>41874.800000000003</v>
      </c>
      <c r="C5" s="14">
        <f>'Data Sheet'!C58</f>
        <v>45198.19</v>
      </c>
      <c r="D5" s="14">
        <f>'Data Sheet'!D58</f>
        <v>51289.68</v>
      </c>
      <c r="E5" s="14">
        <f>'Data Sheet'!E58</f>
        <v>57915.01</v>
      </c>
      <c r="F5" s="14">
        <f>'Data Sheet'!F58</f>
        <v>64044.04</v>
      </c>
      <c r="G5" s="14">
        <f>'Data Sheet'!G58</f>
        <v>59116.46</v>
      </c>
      <c r="H5" s="14">
        <f>'Data Sheet'!H58</f>
        <v>61223.24</v>
      </c>
      <c r="I5" s="14">
        <f>'Data Sheet'!I58</f>
        <v>67912.460000000006</v>
      </c>
      <c r="J5" s="14">
        <f>'Data Sheet'!J58</f>
        <v>73258.53</v>
      </c>
      <c r="K5" s="14">
        <f>'Data Sheet'!K58</f>
        <v>68778.64</v>
      </c>
    </row>
    <row r="6" spans="1:11">
      <c r="A6" t="s">
        <v>71</v>
      </c>
      <c r="B6" s="14">
        <f>'Data Sheet'!B59</f>
        <v>83.78</v>
      </c>
      <c r="C6" s="14">
        <f>'Data Sheet'!C59</f>
        <v>45.72</v>
      </c>
      <c r="D6" s="14">
        <f>'Data Sheet'!D59</f>
        <v>35.92</v>
      </c>
      <c r="E6" s="14">
        <f>'Data Sheet'!E59</f>
        <v>13.44</v>
      </c>
      <c r="F6" s="14">
        <f>'Data Sheet'!F59</f>
        <v>277.45</v>
      </c>
      <c r="G6" s="14">
        <f>'Data Sheet'!G59</f>
        <v>270.83</v>
      </c>
      <c r="H6" s="14">
        <f>'Data Sheet'!H59</f>
        <v>249.44</v>
      </c>
      <c r="I6" s="14">
        <f>'Data Sheet'!I59</f>
        <v>306.04000000000002</v>
      </c>
      <c r="J6" s="14">
        <f>'Data Sheet'!J59</f>
        <v>303.43</v>
      </c>
      <c r="K6" s="14">
        <f>'Data Sheet'!K59</f>
        <v>284.54000000000002</v>
      </c>
    </row>
    <row r="7" spans="1:11">
      <c r="A7" t="s">
        <v>72</v>
      </c>
      <c r="B7" s="14">
        <f>'Data Sheet'!B60</f>
        <v>8888.0400000000009</v>
      </c>
      <c r="C7" s="14">
        <f>'Data Sheet'!C60</f>
        <v>9439.67</v>
      </c>
      <c r="D7" s="14">
        <f>'Data Sheet'!D60</f>
        <v>11694.85</v>
      </c>
      <c r="E7" s="14">
        <f>'Data Sheet'!E60</f>
        <v>12584.73</v>
      </c>
      <c r="F7" s="14">
        <f>'Data Sheet'!F60</f>
        <v>11760.04</v>
      </c>
      <c r="G7" s="14">
        <f>'Data Sheet'!G60</f>
        <v>13142.59</v>
      </c>
      <c r="H7" s="14">
        <f>'Data Sheet'!H60</f>
        <v>14491.01</v>
      </c>
      <c r="I7" s="14">
        <f>'Data Sheet'!I60</f>
        <v>16369.66</v>
      </c>
      <c r="J7" s="14">
        <f>'Data Sheet'!J60</f>
        <v>16943.54</v>
      </c>
      <c r="K7" s="14">
        <f>'Data Sheet'!K60</f>
        <v>17688.11</v>
      </c>
    </row>
    <row r="8" spans="1:11" s="2" customFormat="1">
      <c r="A8" s="2" t="s">
        <v>26</v>
      </c>
      <c r="B8" s="15">
        <f>'Data Sheet'!B61</f>
        <v>51651.34</v>
      </c>
      <c r="C8" s="15">
        <f>'Data Sheet'!C61</f>
        <v>55898.32</v>
      </c>
      <c r="D8" s="15">
        <f>'Data Sheet'!D61</f>
        <v>64240.88</v>
      </c>
      <c r="E8" s="15">
        <f>'Data Sheet'!E61</f>
        <v>71739.039999999994</v>
      </c>
      <c r="F8" s="15">
        <f>'Data Sheet'!F61</f>
        <v>77310.75</v>
      </c>
      <c r="G8" s="15">
        <f>'Data Sheet'!G61</f>
        <v>73760.759999999995</v>
      </c>
      <c r="H8" s="15">
        <f>'Data Sheet'!H61</f>
        <v>77196.02</v>
      </c>
      <c r="I8" s="15">
        <f>'Data Sheet'!I61</f>
        <v>85830.96</v>
      </c>
      <c r="J8" s="15">
        <f>'Data Sheet'!J61</f>
        <v>91753.97</v>
      </c>
      <c r="K8" s="15">
        <f>'Data Sheet'!K61</f>
        <v>88002.7</v>
      </c>
    </row>
    <row r="9" spans="1:11" s="2" customFormat="1"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>
      <c r="A10" t="s">
        <v>27</v>
      </c>
      <c r="B10" s="14">
        <f>'Data Sheet'!B62</f>
        <v>15106.63</v>
      </c>
      <c r="C10" s="14">
        <f>'Data Sheet'!C62</f>
        <v>15893.48</v>
      </c>
      <c r="D10" s="14">
        <f>'Data Sheet'!D62</f>
        <v>16523.96</v>
      </c>
      <c r="E10" s="14">
        <f>'Data Sheet'!E62</f>
        <v>19374.189999999999</v>
      </c>
      <c r="F10" s="14">
        <f>'Data Sheet'!F62</f>
        <v>21713.34</v>
      </c>
      <c r="G10" s="14">
        <f>'Data Sheet'!G62</f>
        <v>23298.48</v>
      </c>
      <c r="H10" s="14">
        <f>'Data Sheet'!H62</f>
        <v>24231.59</v>
      </c>
      <c r="I10" s="14">
        <f>'Data Sheet'!I62</f>
        <v>25851.27</v>
      </c>
      <c r="J10" s="14">
        <f>'Data Sheet'!J62</f>
        <v>27820.22</v>
      </c>
      <c r="K10" s="14">
        <f>'Data Sheet'!K62</f>
        <v>21954.85</v>
      </c>
    </row>
    <row r="11" spans="1:11">
      <c r="A11" t="s">
        <v>28</v>
      </c>
      <c r="B11" s="14">
        <f>'Data Sheet'!B63</f>
        <v>2559.7199999999998</v>
      </c>
      <c r="C11" s="14">
        <f>'Data Sheet'!C63</f>
        <v>3729.89</v>
      </c>
      <c r="D11" s="14">
        <f>'Data Sheet'!D63</f>
        <v>5508.33</v>
      </c>
      <c r="E11" s="14">
        <f>'Data Sheet'!E63</f>
        <v>4136.42</v>
      </c>
      <c r="F11" s="14">
        <f>'Data Sheet'!F63</f>
        <v>3256.46</v>
      </c>
      <c r="G11" s="14">
        <f>'Data Sheet'!G63</f>
        <v>4011.29</v>
      </c>
      <c r="H11" s="14">
        <f>'Data Sheet'!H63</f>
        <v>3225.54</v>
      </c>
      <c r="I11" s="14">
        <f>'Data Sheet'!I63</f>
        <v>3003.3</v>
      </c>
      <c r="J11" s="14">
        <f>'Data Sheet'!J63</f>
        <v>2860.78</v>
      </c>
      <c r="K11" s="14">
        <f>'Data Sheet'!K63</f>
        <v>1090.9100000000001</v>
      </c>
    </row>
    <row r="12" spans="1:11">
      <c r="A12" t="s">
        <v>29</v>
      </c>
      <c r="B12" s="14">
        <f>'Data Sheet'!B64</f>
        <v>11747.59</v>
      </c>
      <c r="C12" s="14">
        <f>'Data Sheet'!C64</f>
        <v>17581.38</v>
      </c>
      <c r="D12" s="14">
        <f>'Data Sheet'!D64</f>
        <v>22052.86</v>
      </c>
      <c r="E12" s="14">
        <f>'Data Sheet'!E64</f>
        <v>25043.49</v>
      </c>
      <c r="F12" s="14">
        <f>'Data Sheet'!F64</f>
        <v>28663.35</v>
      </c>
      <c r="G12" s="14">
        <f>'Data Sheet'!G64</f>
        <v>24870.87</v>
      </c>
      <c r="H12" s="14">
        <f>'Data Sheet'!H64</f>
        <v>24841.01</v>
      </c>
      <c r="I12" s="14">
        <f>'Data Sheet'!I64</f>
        <v>29415.02</v>
      </c>
      <c r="J12" s="14">
        <f>'Data Sheet'!J64</f>
        <v>31114.02</v>
      </c>
      <c r="K12" s="14">
        <f>'Data Sheet'!K64</f>
        <v>34719.82</v>
      </c>
    </row>
    <row r="13" spans="1:11">
      <c r="A13" t="s">
        <v>73</v>
      </c>
      <c r="B13" s="14">
        <f>'Data Sheet'!B65</f>
        <v>22237.4</v>
      </c>
      <c r="C13" s="14">
        <f>'Data Sheet'!C65</f>
        <v>18693.57</v>
      </c>
      <c r="D13" s="14">
        <f>'Data Sheet'!D65</f>
        <v>20155.73</v>
      </c>
      <c r="E13" s="14">
        <f>'Data Sheet'!E65</f>
        <v>23184.94</v>
      </c>
      <c r="F13" s="14">
        <f>'Data Sheet'!F65</f>
        <v>23677.599999999999</v>
      </c>
      <c r="G13" s="14">
        <f>'Data Sheet'!G65</f>
        <v>21580.12</v>
      </c>
      <c r="H13" s="14">
        <f>'Data Sheet'!H65</f>
        <v>24897.88</v>
      </c>
      <c r="I13" s="14">
        <f>'Data Sheet'!I65</f>
        <v>27561.37</v>
      </c>
      <c r="J13" s="14">
        <f>'Data Sheet'!J65</f>
        <v>29958.95</v>
      </c>
      <c r="K13" s="14">
        <f>'Data Sheet'!K65</f>
        <v>30237.119999999999</v>
      </c>
    </row>
    <row r="14" spans="1:11" s="2" customFormat="1">
      <c r="A14" s="2" t="s">
        <v>26</v>
      </c>
      <c r="B14" s="14">
        <f>'Data Sheet'!B66</f>
        <v>51651.34</v>
      </c>
      <c r="C14" s="14">
        <f>'Data Sheet'!C66</f>
        <v>55898.32</v>
      </c>
      <c r="D14" s="14">
        <f>'Data Sheet'!D66</f>
        <v>64240.88</v>
      </c>
      <c r="E14" s="14">
        <f>'Data Sheet'!E66</f>
        <v>71739.039999999994</v>
      </c>
      <c r="F14" s="14">
        <f>'Data Sheet'!F66</f>
        <v>77310.75</v>
      </c>
      <c r="G14" s="14">
        <f>'Data Sheet'!G66</f>
        <v>73760.759999999995</v>
      </c>
      <c r="H14" s="14">
        <f>'Data Sheet'!H66</f>
        <v>77196.02</v>
      </c>
      <c r="I14" s="14">
        <f>'Data Sheet'!I66</f>
        <v>85830.96</v>
      </c>
      <c r="J14" s="14">
        <f>'Data Sheet'!J66</f>
        <v>91753.97</v>
      </c>
      <c r="K14" s="14">
        <f>'Data Sheet'!K66</f>
        <v>88002.7</v>
      </c>
    </row>
    <row r="15" spans="1:11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t="s">
        <v>30</v>
      </c>
      <c r="B16" s="4">
        <f>B13-B7</f>
        <v>13349.36</v>
      </c>
      <c r="C16" s="4">
        <f t="shared" ref="C16:K16" si="0">C13-C7</f>
        <v>9253.9</v>
      </c>
      <c r="D16" s="4">
        <f t="shared" si="0"/>
        <v>8460.8799999999992</v>
      </c>
      <c r="E16" s="4">
        <f t="shared" si="0"/>
        <v>10600.21</v>
      </c>
      <c r="F16" s="4">
        <f t="shared" si="0"/>
        <v>11917.559999999998</v>
      </c>
      <c r="G16" s="4">
        <f t="shared" si="0"/>
        <v>8437.5299999999988</v>
      </c>
      <c r="H16" s="4">
        <f t="shared" si="0"/>
        <v>10406.870000000001</v>
      </c>
      <c r="I16" s="4">
        <f t="shared" si="0"/>
        <v>11191.71</v>
      </c>
      <c r="J16" s="4">
        <f t="shared" si="0"/>
        <v>13015.41</v>
      </c>
      <c r="K16" s="4">
        <f t="shared" si="0"/>
        <v>12549.009999999998</v>
      </c>
    </row>
    <row r="17" spans="1:11">
      <c r="A17" t="s">
        <v>44</v>
      </c>
      <c r="B17" s="4">
        <f>'Data Sheet'!B67</f>
        <v>1917.18</v>
      </c>
      <c r="C17" s="4">
        <f>'Data Sheet'!C67</f>
        <v>2474.29</v>
      </c>
      <c r="D17" s="4">
        <f>'Data Sheet'!D67</f>
        <v>2682.29</v>
      </c>
      <c r="E17" s="4">
        <f>'Data Sheet'!E67</f>
        <v>4035.28</v>
      </c>
      <c r="F17" s="4">
        <f>'Data Sheet'!F67</f>
        <v>2562.48</v>
      </c>
      <c r="G17" s="4">
        <f>'Data Sheet'!G67</f>
        <v>2501.6999999999998</v>
      </c>
      <c r="H17" s="4">
        <f>'Data Sheet'!H67</f>
        <v>2461.9</v>
      </c>
      <c r="I17" s="4">
        <f>'Data Sheet'!I67</f>
        <v>2956.17</v>
      </c>
      <c r="J17" s="4">
        <f>'Data Sheet'!J67</f>
        <v>4025.82</v>
      </c>
      <c r="K17" s="4">
        <f>'Data Sheet'!K67</f>
        <v>4719.67</v>
      </c>
    </row>
    <row r="18" spans="1:11">
      <c r="A18" t="s">
        <v>45</v>
      </c>
      <c r="B18" s="4">
        <f>'Data Sheet'!B68</f>
        <v>9062.1</v>
      </c>
      <c r="C18" s="4">
        <f>'Data Sheet'!C68</f>
        <v>8116.1</v>
      </c>
      <c r="D18" s="4">
        <f>'Data Sheet'!D68</f>
        <v>7495.09</v>
      </c>
      <c r="E18" s="4">
        <f>'Data Sheet'!E68</f>
        <v>7859.56</v>
      </c>
      <c r="F18" s="4">
        <f>'Data Sheet'!F68</f>
        <v>8879.33</v>
      </c>
      <c r="G18" s="4">
        <f>'Data Sheet'!G68</f>
        <v>10397.16</v>
      </c>
      <c r="H18" s="4">
        <f>'Data Sheet'!H68</f>
        <v>10864.15</v>
      </c>
      <c r="I18" s="4">
        <f>'Data Sheet'!I68</f>
        <v>11771.16</v>
      </c>
      <c r="J18" s="4">
        <f>'Data Sheet'!J68</f>
        <v>14152.88</v>
      </c>
      <c r="K18" s="4">
        <f>'Data Sheet'!K68</f>
        <v>15637.56</v>
      </c>
    </row>
    <row r="20" spans="1:11">
      <c r="A20" t="s">
        <v>46</v>
      </c>
      <c r="B20" s="4">
        <f>IF('Profit &amp; Loss'!B4&gt;0,'Balance Sheet'!B17/('Profit &amp; Loss'!B4/365),0)</f>
        <v>17.854891674597688</v>
      </c>
      <c r="C20" s="4">
        <f>IF('Profit &amp; Loss'!C4&gt;0,'Balance Sheet'!C17/('Profit &amp; Loss'!C4/365),0)</f>
        <v>21.116823249375695</v>
      </c>
      <c r="D20" s="4">
        <f>IF('Profit &amp; Loss'!D4&gt;0,'Balance Sheet'!D17/('Profit &amp; Loss'!D4/365),0)</f>
        <v>22.533020368275956</v>
      </c>
      <c r="E20" s="4">
        <f>IF('Profit &amp; Loss'!E4&gt;0,'Balance Sheet'!E17/('Profit &amp; Loss'!E4/365),0)</f>
        <v>30.469383474163411</v>
      </c>
      <c r="F20" s="4">
        <f>IF('Profit &amp; Loss'!F4&gt;0,'Balance Sheet'!F17/('Profit &amp; Loss'!F4/365),0)</f>
        <v>18.938018980434403</v>
      </c>
      <c r="G20" s="4">
        <f>IF('Profit &amp; Loss'!G4&gt;0,'Balance Sheet'!G17/('Profit &amp; Loss'!G4/365),0)</f>
        <v>18.537713584442557</v>
      </c>
      <c r="H20" s="4">
        <f>IF('Profit &amp; Loss'!H4&gt;0,'Balance Sheet'!H17/('Profit &amp; Loss'!H4/365),0)</f>
        <v>14.817385044061677</v>
      </c>
      <c r="I20" s="4">
        <f>IF('Profit &amp; Loss'!I4&gt;0,'Balance Sheet'!I17/('Profit &amp; Loss'!I4/365),0)</f>
        <v>15.214563002342249</v>
      </c>
      <c r="J20" s="4">
        <f>IF('Profit &amp; Loss'!J4&gt;0,'Balance Sheet'!J17/('Profit &amp; Loss'!J4/365),0)</f>
        <v>21.630830799179297</v>
      </c>
      <c r="K20" s="4">
        <f>IF('Profit &amp; Loss'!K4&gt;0,'Balance Sheet'!K17/('Profit &amp; Loss'!K4/365),0)</f>
        <v>22.870461532906003</v>
      </c>
    </row>
    <row r="21" spans="1:11">
      <c r="A21" t="s">
        <v>47</v>
      </c>
      <c r="B21" s="4">
        <f>IF('Balance Sheet'!B18&gt;0,'Profit &amp; Loss'!B4/'Balance Sheet'!B18,0)</f>
        <v>4.3248364065724276</v>
      </c>
      <c r="C21" s="4">
        <f>IF('Balance Sheet'!C18&gt;0,'Profit &amp; Loss'!C4/'Balance Sheet'!C18,0)</f>
        <v>5.2694767191138601</v>
      </c>
      <c r="D21" s="4">
        <f>IF('Balance Sheet'!D18&gt;0,'Profit &amp; Loss'!D4/'Balance Sheet'!D18,0)</f>
        <v>5.7969870942176813</v>
      </c>
      <c r="E21" s="4">
        <f>IF('Balance Sheet'!E18&gt;0,'Profit &amp; Loss'!E4/'Balance Sheet'!E18,0)</f>
        <v>6.1504180895622653</v>
      </c>
      <c r="F21" s="4">
        <f>IF('Balance Sheet'!F18&gt;0,'Profit &amp; Loss'!F4/'Balance Sheet'!F18,0)</f>
        <v>5.5620975906965953</v>
      </c>
      <c r="G21" s="4">
        <f>IF('Balance Sheet'!G18&gt;0,'Profit &amp; Loss'!G4/'Balance Sheet'!G18,0)</f>
        <v>4.7375869949101483</v>
      </c>
      <c r="H21" s="4">
        <f>IF('Balance Sheet'!H18&gt;0,'Profit &amp; Loss'!H4/'Balance Sheet'!H18,0)</f>
        <v>5.5820786715941884</v>
      </c>
      <c r="I21" s="4">
        <f>IF('Balance Sheet'!I18&gt;0,'Profit &amp; Loss'!I4/'Balance Sheet'!I18,0)</f>
        <v>6.0248123379514</v>
      </c>
      <c r="J21" s="4">
        <f>IF('Balance Sheet'!J18&gt;0,'Profit &amp; Loss'!J4/'Balance Sheet'!J18,0)</f>
        <v>4.7998668822176125</v>
      </c>
      <c r="K21" s="4">
        <f>IF('Balance Sheet'!K18&gt;0,'Profit &amp; Loss'!K4/'Balance Sheet'!K18,0)</f>
        <v>4.8168218059594974</v>
      </c>
    </row>
    <row r="23" spans="1:11" s="2" customFormat="1">
      <c r="A23" s="2" t="s">
        <v>59</v>
      </c>
      <c r="B23" s="10">
        <f>IF(SUM('Balance Sheet'!B4:B5)&gt;0,'Profit &amp; Loss'!B12/SUM('Balance Sheet'!B4:B5),"")</f>
        <v>0.21894458981731754</v>
      </c>
      <c r="C23" s="10">
        <f>IF(SUM('Balance Sheet'!C4:C5)&gt;0,'Profit &amp; Loss'!C12/SUM('Balance Sheet'!C4:C5),"")</f>
        <v>0.2216933944915781</v>
      </c>
      <c r="D23" s="10">
        <f>IF(SUM('Balance Sheet'!D4:D5)&gt;0,'Profit &amp; Loss'!D12/SUM('Balance Sheet'!D4:D5),"")</f>
        <v>0.21464818870118538</v>
      </c>
      <c r="E23" s="10">
        <f>IF(SUM('Balance Sheet'!E4:E5)&gt;0,'Profit &amp; Loss'!E12/SUM('Balance Sheet'!E4:E5),"")</f>
        <v>0.21292094620860327</v>
      </c>
      <c r="F23" s="10">
        <f>IF(SUM('Balance Sheet'!F4:F5)&gt;0,'Profit &amp; Loss'!F12/SUM('Balance Sheet'!F4:F5),"")</f>
        <v>0.23449464604648212</v>
      </c>
      <c r="G23" s="10">
        <f>IF(SUM('Balance Sheet'!G4:G5)&gt;0,'Profit &amp; Loss'!G12/SUM('Balance Sheet'!G4:G5),"")</f>
        <v>0.21809063995198466</v>
      </c>
      <c r="H23" s="10">
        <f>IF(SUM('Balance Sheet'!H4:H5)&gt;0,'Profit &amp; Loss'!H12/SUM('Balance Sheet'!H4:H5),"")</f>
        <v>0.24405605456807136</v>
      </c>
      <c r="I23" s="10">
        <f>IF(SUM('Balance Sheet'!I4:I5)&gt;0,'Profit &amp; Loss'!I12/SUM('Balance Sheet'!I4:I5),"")</f>
        <v>0.2775155497933201</v>
      </c>
      <c r="J23" s="10">
        <f>IF(SUM('Balance Sheet'!J4:J5)&gt;0,'Profit &amp; Loss'!J12/SUM('Balance Sheet'!J4:J5),"")</f>
        <v>0.27458869636409999</v>
      </c>
      <c r="K23" s="10">
        <f>IF(SUM('Balance Sheet'!K4:K5)&gt;0,'Profit &amp; Loss'!K12/SUM('Balance Sheet'!K4:K5),"")</f>
        <v>0.49616743098141436</v>
      </c>
    </row>
    <row r="24" spans="1:11" s="2" customFormat="1">
      <c r="A24" s="2" t="s">
        <v>60</v>
      </c>
      <c r="B24" s="10"/>
      <c r="C24" s="10">
        <f>IF((B4+B5+B6+C4+C5+C6)&gt;0,('Profit &amp; Loss'!C10+'Profit &amp; Loss'!C9)*2/(B4+B5+B6+C4+C5+C6),"")</f>
        <v>0.36034518411668875</v>
      </c>
      <c r="D24" s="10">
        <f>IF((C4+C5+C6+D4+D5+D6)&gt;0,('Profit &amp; Loss'!D10+'Profit &amp; Loss'!D9)*2/(C4+C5+C6+D4+D5+D6),"")</f>
        <v>0.35400589143866729</v>
      </c>
      <c r="E24" s="10">
        <f>IF((D4+D5+D6+E4+E5+E6)&gt;0,('Profit &amp; Loss'!E10+'Profit &amp; Loss'!E9)*2/(D4+D5+D6+E4+E5+E6),"")</f>
        <v>0.34415687544012852</v>
      </c>
      <c r="F24" s="10">
        <f>IF((E4+E5+E6+F4+F5+F6)&gt;0,('Profit &amp; Loss'!F10+'Profit &amp; Loss'!F9)*2/(E4+E5+E6+F4+F5+F6),"")</f>
        <v>0.32261652337652486</v>
      </c>
      <c r="G24" s="10">
        <f>IF((F4+F5+F6+G4+G5+G6)&gt;0,('Profit &amp; Loss'!G10+'Profit &amp; Loss'!G9)*2/(F4+F5+F6+G4+G5+G6),"")</f>
        <v>0.28527066262298589</v>
      </c>
      <c r="H24" s="10">
        <f>IF((G4+G5+G6+H4+H5+H6)&gt;0,('Profit &amp; Loss'!H10+'Profit &amp; Loss'!H9)*2/(G4+G5+G6+H4+H5+H6),"")</f>
        <v>0.33733252742915004</v>
      </c>
      <c r="I24" s="10">
        <f>IF((H4+H5+H6+I4+I5+I6)&gt;0,('Profit &amp; Loss'!I10+'Profit &amp; Loss'!I9)*2/(H4+H5+H6+I4+I5+I6),"")</f>
        <v>0.39333609298769096</v>
      </c>
      <c r="J24" s="10">
        <f>IF((I4+I5+I6+J4+J5+J6)&gt;0,('Profit &amp; Loss'!J10+'Profit &amp; Loss'!J9)*2/(I4+I5+I6+J4+J5+J6),"")</f>
        <v>0.3742927321936183</v>
      </c>
      <c r="K24" s="10">
        <f>IF((J4+J5+J6+K4+K5+K6)&gt;0,('Profit &amp; Loss'!K10+'Profit &amp; Loss'!K9)*2/(J4+J5+J6+K4+K5+K6),"")</f>
        <v>0.57864605289976878</v>
      </c>
    </row>
    <row r="26" spans="1:11">
      <c r="A26" t="s">
        <v>125</v>
      </c>
      <c r="B26" s="35">
        <f>B4+B5</f>
        <v>42679.520000000004</v>
      </c>
      <c r="C26" s="35">
        <f t="shared" ref="C26:K26" si="1">C4+C5</f>
        <v>46412.93</v>
      </c>
      <c r="D26" s="35">
        <f t="shared" si="1"/>
        <v>52510.11</v>
      </c>
      <c r="E26" s="35">
        <f t="shared" si="1"/>
        <v>59140.87</v>
      </c>
      <c r="F26" s="35">
        <f t="shared" si="1"/>
        <v>65273.26</v>
      </c>
      <c r="G26" s="35">
        <f t="shared" si="1"/>
        <v>60347.34</v>
      </c>
      <c r="H26" s="35">
        <f t="shared" si="1"/>
        <v>62455.57</v>
      </c>
      <c r="I26" s="35">
        <f t="shared" si="1"/>
        <v>69155.260000000009</v>
      </c>
      <c r="J26" s="35">
        <f t="shared" si="1"/>
        <v>74507</v>
      </c>
      <c r="K26" s="35">
        <f t="shared" si="1"/>
        <v>70030.05</v>
      </c>
    </row>
  </sheetData>
  <hyperlinks>
    <hyperlink ref="J1" r:id="rId1" xr:uid="{00000000-0004-0000-0200-000000000000}"/>
  </hyperlinks>
  <printOptions gridLines="1"/>
  <pageMargins left="0.7" right="0.7" top="0.75" bottom="0.75" header="0.3" footer="0.3"/>
  <pageSetup paperSize="9" orientation="landscape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K24"/>
  <sheetViews>
    <sheetView zoomScale="150" zoomScaleNormal="150" zoomScalePageLayoutView="150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K5" sqref="K5"/>
    </sheetView>
  </sheetViews>
  <sheetFormatPr baseColWidth="10" defaultColWidth="8.83203125" defaultRowHeight="15"/>
  <cols>
    <col min="1" max="1" width="26.83203125" bestFit="1" customWidth="1"/>
    <col min="2" max="6" width="13.5" customWidth="1"/>
    <col min="7" max="11" width="13.5" bestFit="1" customWidth="1"/>
  </cols>
  <sheetData>
    <row r="1" spans="1:11" s="2" customFormat="1">
      <c r="A1" s="2" t="str">
        <f>'Balance Sheet'!A1</f>
        <v>ITC LTD</v>
      </c>
      <c r="E1" t="str">
        <f>UPDATE</f>
        <v/>
      </c>
      <c r="F1"/>
      <c r="J1" s="2" t="s">
        <v>1</v>
      </c>
    </row>
    <row r="3" spans="1:11" s="2" customFormat="1">
      <c r="A3" s="11" t="s">
        <v>2</v>
      </c>
      <c r="B3" s="12">
        <f>'Data Sheet'!B81</f>
        <v>42460</v>
      </c>
      <c r="C3" s="12">
        <f>'Data Sheet'!C81</f>
        <v>42825</v>
      </c>
      <c r="D3" s="12">
        <f>'Data Sheet'!D81</f>
        <v>43190</v>
      </c>
      <c r="E3" s="12">
        <f>'Data Sheet'!E81</f>
        <v>43555</v>
      </c>
      <c r="F3" s="12">
        <f>'Data Sheet'!F81</f>
        <v>43921</v>
      </c>
      <c r="G3" s="12">
        <f>'Data Sheet'!G81</f>
        <v>44286</v>
      </c>
      <c r="H3" s="12">
        <f>'Data Sheet'!H81</f>
        <v>44651</v>
      </c>
      <c r="I3" s="12">
        <f>'Data Sheet'!I81</f>
        <v>45016</v>
      </c>
      <c r="J3" s="12">
        <f>'Data Sheet'!J81</f>
        <v>45382</v>
      </c>
      <c r="K3" s="12">
        <f>'Data Sheet'!K81</f>
        <v>45747</v>
      </c>
    </row>
    <row r="4" spans="1:11" s="2" customFormat="1">
      <c r="A4" s="2" t="s">
        <v>32</v>
      </c>
      <c r="B4" s="1">
        <f>'Data Sheet'!B82</f>
        <v>9799.0400000000009</v>
      </c>
      <c r="C4" s="1">
        <f>'Data Sheet'!C82</f>
        <v>10627.31</v>
      </c>
      <c r="D4" s="1">
        <f>'Data Sheet'!D82</f>
        <v>13169.4</v>
      </c>
      <c r="E4" s="1">
        <f>'Data Sheet'!E82</f>
        <v>12583.41</v>
      </c>
      <c r="F4" s="1">
        <f>'Data Sheet'!F82</f>
        <v>14689.66</v>
      </c>
      <c r="G4" s="1">
        <f>'Data Sheet'!G82</f>
        <v>12526.97</v>
      </c>
      <c r="H4" s="1">
        <f>'Data Sheet'!H82</f>
        <v>15775.51</v>
      </c>
      <c r="I4" s="1">
        <f>'Data Sheet'!I82</f>
        <v>18877.55</v>
      </c>
      <c r="J4" s="1">
        <f>'Data Sheet'!J82</f>
        <v>17178.86</v>
      </c>
      <c r="K4" s="1">
        <f>'Data Sheet'!K82</f>
        <v>17627.04</v>
      </c>
    </row>
    <row r="5" spans="1:11">
      <c r="A5" t="s">
        <v>33</v>
      </c>
      <c r="B5" s="6">
        <f>'Data Sheet'!B83</f>
        <v>-3920.73</v>
      </c>
      <c r="C5" s="6">
        <f>'Data Sheet'!C83</f>
        <v>-3250.93</v>
      </c>
      <c r="D5" s="6">
        <f>'Data Sheet'!D83</f>
        <v>-7113.89</v>
      </c>
      <c r="E5" s="6">
        <f>'Data Sheet'!E83</f>
        <v>-5545.68</v>
      </c>
      <c r="F5" s="6">
        <f>'Data Sheet'!F83</f>
        <v>-6174.02</v>
      </c>
      <c r="G5" s="6">
        <f>'Data Sheet'!G83</f>
        <v>5739.98</v>
      </c>
      <c r="H5" s="6">
        <f>'Data Sheet'!H83</f>
        <v>-2238.4899999999998</v>
      </c>
      <c r="I5" s="6">
        <f>'Data Sheet'!I83</f>
        <v>-5732.29</v>
      </c>
      <c r="J5" s="6">
        <f>'Data Sheet'!J83</f>
        <v>1562.77</v>
      </c>
      <c r="K5" s="6">
        <f>'Data Sheet'!K83</f>
        <v>-563.84</v>
      </c>
    </row>
    <row r="6" spans="1:11">
      <c r="A6" t="s">
        <v>34</v>
      </c>
      <c r="B6" s="6">
        <f>'Data Sheet'!B84</f>
        <v>-5612.52</v>
      </c>
      <c r="C6" s="6">
        <f>'Data Sheet'!C84</f>
        <v>-7301.03</v>
      </c>
      <c r="D6" s="6">
        <f>'Data Sheet'!D84</f>
        <v>-6221.13</v>
      </c>
      <c r="E6" s="6">
        <f>'Data Sheet'!E84</f>
        <v>-6868.64</v>
      </c>
      <c r="F6" s="6">
        <f>'Data Sheet'!F84</f>
        <v>-8181.48</v>
      </c>
      <c r="G6" s="6">
        <f>'Data Sheet'!G84</f>
        <v>-18633.830000000002</v>
      </c>
      <c r="H6" s="6">
        <f>'Data Sheet'!H84</f>
        <v>-13580.5</v>
      </c>
      <c r="I6" s="6">
        <f>'Data Sheet'!I84</f>
        <v>-13006.03</v>
      </c>
      <c r="J6" s="6">
        <f>'Data Sheet'!J84</f>
        <v>-18550.96</v>
      </c>
      <c r="K6" s="6">
        <f>'Data Sheet'!K84</f>
        <v>-17037.400000000001</v>
      </c>
    </row>
    <row r="7" spans="1:11" s="2" customFormat="1">
      <c r="A7" s="2" t="s">
        <v>35</v>
      </c>
      <c r="B7" s="1">
        <f>'Data Sheet'!B85</f>
        <v>265.79000000000002</v>
      </c>
      <c r="C7" s="1">
        <f>'Data Sheet'!C85</f>
        <v>75.349999999999994</v>
      </c>
      <c r="D7" s="1">
        <f>'Data Sheet'!D85</f>
        <v>-165.62</v>
      </c>
      <c r="E7" s="1">
        <f>'Data Sheet'!E85</f>
        <v>169.09</v>
      </c>
      <c r="F7" s="1">
        <f>'Data Sheet'!F85</f>
        <v>334.16</v>
      </c>
      <c r="G7" s="1">
        <f>'Data Sheet'!G85</f>
        <v>-366.88</v>
      </c>
      <c r="H7" s="1">
        <f>'Data Sheet'!H85</f>
        <v>-43.48</v>
      </c>
      <c r="I7" s="1">
        <f>'Data Sheet'!I85</f>
        <v>139.22999999999999</v>
      </c>
      <c r="J7" s="1">
        <f>'Data Sheet'!J85</f>
        <v>190.67</v>
      </c>
      <c r="K7" s="1">
        <f>'Data Sheet'!K85</f>
        <v>25.8</v>
      </c>
    </row>
    <row r="8" spans="1:11">
      <c r="B8" s="6"/>
      <c r="C8" s="6"/>
      <c r="D8" s="6"/>
      <c r="E8" s="6"/>
      <c r="F8" s="6"/>
      <c r="G8" s="6"/>
      <c r="H8" s="6"/>
      <c r="I8" s="6"/>
      <c r="J8" s="6"/>
      <c r="K8" s="6"/>
    </row>
    <row r="24" customFormat="1"/>
  </sheetData>
  <hyperlinks>
    <hyperlink ref="J1" r:id="rId1" xr:uid="{00000000-0004-0000-0300-000000000000}"/>
  </hyperlinks>
  <printOptions gridLines="1"/>
  <pageMargins left="0.7" right="0.7" top="0.75" bottom="0.75" header="0.3" footer="0.3"/>
  <pageSetup paperSize="9" orientation="landscape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16"/>
  <sheetViews>
    <sheetView zoomScale="150" zoomScaleNormal="150" zoomScalePageLayoutView="150" workbookViewId="0">
      <selection activeCell="B16" sqref="B16"/>
    </sheetView>
  </sheetViews>
  <sheetFormatPr baseColWidth="10" defaultColWidth="8.83203125" defaultRowHeight="15"/>
  <cols>
    <col min="1" max="1" width="8.83203125" style="2"/>
    <col min="2" max="2" width="10.5" customWidth="1"/>
    <col min="3" max="3" width="13.33203125" style="20" customWidth="1"/>
    <col min="6" max="6" width="6.83203125" customWidth="1"/>
  </cols>
  <sheetData>
    <row r="1" spans="1:7" ht="21">
      <c r="A1" s="19" t="s">
        <v>56</v>
      </c>
    </row>
    <row r="3" spans="1:7">
      <c r="A3" s="2" t="s">
        <v>48</v>
      </c>
    </row>
    <row r="4" spans="1:7">
      <c r="B4" t="s">
        <v>90</v>
      </c>
    </row>
    <row r="5" spans="1:7">
      <c r="B5" t="s">
        <v>49</v>
      </c>
    </row>
    <row r="7" spans="1:7">
      <c r="A7" s="2" t="s">
        <v>50</v>
      </c>
    </row>
    <row r="8" spans="1:7">
      <c r="B8" t="s">
        <v>51</v>
      </c>
      <c r="C8" s="21" t="s">
        <v>91</v>
      </c>
    </row>
    <row r="10" spans="1:7">
      <c r="A10" s="2" t="s">
        <v>52</v>
      </c>
    </row>
    <row r="11" spans="1:7">
      <c r="B11" t="s">
        <v>53</v>
      </c>
    </row>
    <row r="14" spans="1:7">
      <c r="A14" s="2" t="s">
        <v>54</v>
      </c>
    </row>
    <row r="15" spans="1:7">
      <c r="B15" t="s">
        <v>55</v>
      </c>
    </row>
    <row r="16" spans="1:7">
      <c r="B16" t="s">
        <v>92</v>
      </c>
      <c r="G16" s="22"/>
    </row>
  </sheetData>
  <hyperlinks>
    <hyperlink ref="C8" r:id="rId1" display=" http://www.screener.in/excel" xr:uid="{00000000-0004-0000-0400-000000000000}"/>
  </hyperlink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3"/>
  <sheetViews>
    <sheetView zoomScale="120" zoomScaleNormal="120" zoomScalePageLayoutView="120" workbookViewId="0">
      <pane xSplit="1" ySplit="1" topLeftCell="B52" activePane="bottomRight" state="frozen"/>
      <selection activeCell="C4" sqref="C4"/>
      <selection pane="topRight" activeCell="C4" sqref="C4"/>
      <selection pane="bottomLeft" activeCell="C4" sqref="C4"/>
      <selection pane="bottomRight" activeCell="K95" sqref="K95"/>
    </sheetView>
  </sheetViews>
  <sheetFormatPr baseColWidth="10" defaultColWidth="8.83203125" defaultRowHeight="15"/>
  <cols>
    <col min="1" max="1" width="27.6640625" style="4" bestFit="1" customWidth="1"/>
    <col min="2" max="11" width="13.5" style="4" bestFit="1" customWidth="1"/>
    <col min="12" max="16384" width="8.83203125" style="4"/>
  </cols>
  <sheetData>
    <row r="1" spans="1:11" s="1" customFormat="1">
      <c r="A1" s="1" t="s">
        <v>0</v>
      </c>
      <c r="B1" s="1" t="s">
        <v>63</v>
      </c>
      <c r="E1" s="79" t="str">
        <f>IF(B2&lt;&gt;B3, "A NEW VERSION OF THE WORKSHEET IS AVAILABLE", "")</f>
        <v/>
      </c>
      <c r="F1" s="79"/>
      <c r="G1" s="79"/>
      <c r="H1" s="79"/>
      <c r="I1" s="79"/>
      <c r="J1" s="79"/>
      <c r="K1" s="79"/>
    </row>
    <row r="2" spans="1:11">
      <c r="A2" s="1" t="s">
        <v>61</v>
      </c>
      <c r="B2" s="4">
        <v>2.1</v>
      </c>
      <c r="E2" s="80" t="s">
        <v>36</v>
      </c>
      <c r="F2" s="80"/>
      <c r="G2" s="80"/>
      <c r="H2" s="80"/>
      <c r="I2" s="80"/>
      <c r="J2" s="80"/>
      <c r="K2" s="80"/>
    </row>
    <row r="3" spans="1:11">
      <c r="A3" s="1" t="s">
        <v>62</v>
      </c>
      <c r="B3" s="4">
        <v>2.1</v>
      </c>
    </row>
    <row r="4" spans="1:11">
      <c r="A4" s="1"/>
    </row>
    <row r="5" spans="1:11">
      <c r="A5" s="1" t="s">
        <v>64</v>
      </c>
    </row>
    <row r="6" spans="1:11">
      <c r="A6" s="4" t="s">
        <v>42</v>
      </c>
      <c r="B6" s="4">
        <f>IF(B9&gt;0, B9/B8, 0)</f>
        <v>1252.9468383311605</v>
      </c>
    </row>
    <row r="7" spans="1:11">
      <c r="A7" s="4" t="s">
        <v>31</v>
      </c>
      <c r="B7">
        <v>1</v>
      </c>
    </row>
    <row r="8" spans="1:11">
      <c r="A8" s="4" t="s">
        <v>43</v>
      </c>
      <c r="B8">
        <v>306.8</v>
      </c>
    </row>
    <row r="9" spans="1:11">
      <c r="A9" s="4" t="s">
        <v>79</v>
      </c>
      <c r="B9">
        <v>384404.09</v>
      </c>
    </row>
    <row r="15" spans="1:11">
      <c r="A15" s="1" t="s">
        <v>37</v>
      </c>
    </row>
    <row r="16" spans="1:11" s="18" customFormat="1">
      <c r="A16" s="17" t="s">
        <v>38</v>
      </c>
      <c r="B16" s="12">
        <v>42460</v>
      </c>
      <c r="C16" s="12">
        <v>42825</v>
      </c>
      <c r="D16" s="12">
        <v>43190</v>
      </c>
      <c r="E16" s="12">
        <v>43555</v>
      </c>
      <c r="F16" s="12">
        <v>43921</v>
      </c>
      <c r="G16" s="12">
        <v>44286</v>
      </c>
      <c r="H16" s="12">
        <v>44651</v>
      </c>
      <c r="I16" s="12">
        <v>45016</v>
      </c>
      <c r="J16" s="12">
        <v>45382</v>
      </c>
      <c r="K16" s="12">
        <v>45747</v>
      </c>
    </row>
    <row r="17" spans="1:11" s="6" customFormat="1">
      <c r="A17" s="6" t="s">
        <v>6</v>
      </c>
      <c r="B17">
        <v>39192.1</v>
      </c>
      <c r="C17">
        <v>42767.6</v>
      </c>
      <c r="D17">
        <v>43448.94</v>
      </c>
      <c r="E17">
        <v>48339.58</v>
      </c>
      <c r="F17">
        <v>49387.7</v>
      </c>
      <c r="G17">
        <v>49257.45</v>
      </c>
      <c r="H17">
        <v>60644.54</v>
      </c>
      <c r="I17">
        <v>70919.03</v>
      </c>
      <c r="J17">
        <v>67931.94</v>
      </c>
      <c r="K17">
        <v>75323.34</v>
      </c>
    </row>
    <row r="18" spans="1:11" s="6" customFormat="1">
      <c r="A18" s="4" t="s">
        <v>80</v>
      </c>
      <c r="B18">
        <v>13763.88</v>
      </c>
      <c r="C18">
        <v>15456.59</v>
      </c>
      <c r="D18">
        <v>14827.72</v>
      </c>
      <c r="E18">
        <v>17623.52</v>
      </c>
      <c r="F18">
        <v>18048.599999999999</v>
      </c>
      <c r="G18">
        <v>20776.71</v>
      </c>
      <c r="H18">
        <v>27071.07</v>
      </c>
      <c r="I18">
        <v>29364.36</v>
      </c>
      <c r="J18">
        <v>27348.57</v>
      </c>
      <c r="K18">
        <v>32704.37</v>
      </c>
    </row>
    <row r="19" spans="1:11" s="6" customFormat="1">
      <c r="A19" s="4" t="s">
        <v>81</v>
      </c>
      <c r="B19">
        <v>195.38</v>
      </c>
      <c r="C19">
        <v>-592.57000000000005</v>
      </c>
      <c r="D19">
        <v>-1027.76</v>
      </c>
      <c r="E19">
        <v>203.19</v>
      </c>
      <c r="F19">
        <v>703.13</v>
      </c>
      <c r="G19">
        <v>645.27</v>
      </c>
      <c r="H19">
        <v>686</v>
      </c>
      <c r="I19">
        <v>358.59</v>
      </c>
      <c r="J19">
        <v>367.77</v>
      </c>
      <c r="K19">
        <v>725.65</v>
      </c>
    </row>
    <row r="20" spans="1:11" s="6" customFormat="1">
      <c r="A20" s="4" t="s">
        <v>82</v>
      </c>
      <c r="B20">
        <v>571.88</v>
      </c>
      <c r="C20">
        <v>584.33000000000004</v>
      </c>
      <c r="D20">
        <v>653.5</v>
      </c>
      <c r="E20">
        <v>746.73</v>
      </c>
      <c r="F20">
        <v>780.85</v>
      </c>
      <c r="G20">
        <v>699.56</v>
      </c>
      <c r="H20">
        <v>889.77</v>
      </c>
      <c r="I20">
        <v>1232.3399999999999</v>
      </c>
      <c r="J20">
        <v>952.9</v>
      </c>
      <c r="K20">
        <v>975.35</v>
      </c>
    </row>
    <row r="21" spans="1:11" s="6" customFormat="1">
      <c r="A21" s="4" t="s">
        <v>83</v>
      </c>
      <c r="B21">
        <v>1581.59</v>
      </c>
      <c r="C21">
        <v>1683.9</v>
      </c>
      <c r="D21">
        <v>1697.62</v>
      </c>
      <c r="E21">
        <v>1871.01</v>
      </c>
      <c r="F21">
        <v>1908.29</v>
      </c>
      <c r="G21">
        <v>1587.18</v>
      </c>
      <c r="H21">
        <v>1887.67</v>
      </c>
      <c r="I21">
        <v>2327.8000000000002</v>
      </c>
      <c r="J21">
        <v>2183.7600000000002</v>
      </c>
      <c r="K21">
        <v>2345.36</v>
      </c>
    </row>
    <row r="22" spans="1:11" s="6" customFormat="1">
      <c r="A22" s="4" t="s">
        <v>84</v>
      </c>
      <c r="B22">
        <v>3440.97</v>
      </c>
      <c r="C22">
        <v>3631.73</v>
      </c>
      <c r="D22">
        <v>3760.9</v>
      </c>
      <c r="E22">
        <v>4177.88</v>
      </c>
      <c r="F22">
        <v>4295.79</v>
      </c>
      <c r="G22">
        <v>4463.33</v>
      </c>
      <c r="H22">
        <v>4890.55</v>
      </c>
      <c r="I22">
        <v>5736.22</v>
      </c>
      <c r="J22">
        <v>5548.53</v>
      </c>
      <c r="K22">
        <v>6169.78</v>
      </c>
    </row>
    <row r="23" spans="1:11" s="6" customFormat="1">
      <c r="A23" s="4" t="s">
        <v>85</v>
      </c>
      <c r="B23">
        <v>4261.78</v>
      </c>
      <c r="C23">
        <v>4179.74</v>
      </c>
      <c r="D23">
        <v>3954.87</v>
      </c>
      <c r="E23">
        <v>4546.3900000000003</v>
      </c>
      <c r="F23">
        <v>4488.63</v>
      </c>
      <c r="G23">
        <v>4236.7700000000004</v>
      </c>
      <c r="H23">
        <v>4858.38</v>
      </c>
      <c r="I23">
        <v>5604.08</v>
      </c>
      <c r="J23">
        <v>5312.45</v>
      </c>
      <c r="K23">
        <v>5793.29</v>
      </c>
    </row>
    <row r="24" spans="1:11" s="6" customFormat="1">
      <c r="A24" s="4" t="s">
        <v>86</v>
      </c>
      <c r="B24">
        <v>1235.8900000000001</v>
      </c>
      <c r="C24">
        <v>1169.23</v>
      </c>
      <c r="D24">
        <v>1005.98</v>
      </c>
      <c r="E24">
        <v>1039.8499999999999</v>
      </c>
      <c r="F24">
        <v>1225.1300000000001</v>
      </c>
      <c r="G24">
        <v>1074.3900000000001</v>
      </c>
      <c r="H24">
        <v>1109.95</v>
      </c>
      <c r="I24">
        <v>1308.56</v>
      </c>
      <c r="J24">
        <v>1765.97</v>
      </c>
      <c r="K24">
        <v>2221.39</v>
      </c>
    </row>
    <row r="25" spans="1:11" s="6" customFormat="1">
      <c r="A25" s="6" t="s">
        <v>9</v>
      </c>
      <c r="B25">
        <v>1483.11</v>
      </c>
      <c r="C25">
        <v>1758.63</v>
      </c>
      <c r="D25">
        <v>2239.81</v>
      </c>
      <c r="E25">
        <v>2080.44</v>
      </c>
      <c r="F25">
        <v>2417.3200000000002</v>
      </c>
      <c r="G25">
        <v>2576.9499999999998</v>
      </c>
      <c r="H25">
        <v>1909.72</v>
      </c>
      <c r="I25">
        <v>2097.64</v>
      </c>
      <c r="J25">
        <v>3330.45</v>
      </c>
      <c r="K25">
        <v>17794.88</v>
      </c>
    </row>
    <row r="26" spans="1:11" s="6" customFormat="1">
      <c r="A26" s="6" t="s">
        <v>10</v>
      </c>
      <c r="B26">
        <v>1077.4000000000001</v>
      </c>
      <c r="C26">
        <v>1152.79</v>
      </c>
      <c r="D26">
        <v>1236.28</v>
      </c>
      <c r="E26">
        <v>1396.61</v>
      </c>
      <c r="F26">
        <v>1644.91</v>
      </c>
      <c r="G26">
        <v>1645.59</v>
      </c>
      <c r="H26">
        <v>1732.41</v>
      </c>
      <c r="I26">
        <v>1809.01</v>
      </c>
      <c r="J26">
        <v>1518.05</v>
      </c>
      <c r="K26">
        <v>1646.32</v>
      </c>
    </row>
    <row r="27" spans="1:11" s="6" customFormat="1">
      <c r="A27" s="6" t="s">
        <v>11</v>
      </c>
      <c r="B27">
        <v>78.13</v>
      </c>
      <c r="C27">
        <v>49.03</v>
      </c>
      <c r="D27">
        <v>115.01</v>
      </c>
      <c r="E27">
        <v>71.400000000000006</v>
      </c>
      <c r="F27">
        <v>81.38</v>
      </c>
      <c r="G27">
        <v>57.97</v>
      </c>
      <c r="H27">
        <v>59.99</v>
      </c>
      <c r="I27">
        <v>77.77</v>
      </c>
      <c r="J27">
        <v>39.11</v>
      </c>
      <c r="K27">
        <v>45.06</v>
      </c>
    </row>
    <row r="28" spans="1:11" s="6" customFormat="1">
      <c r="A28" s="6" t="s">
        <v>12</v>
      </c>
      <c r="B28">
        <v>14859.07</v>
      </c>
      <c r="C28">
        <v>16026.32</v>
      </c>
      <c r="D28">
        <v>17409.11</v>
      </c>
      <c r="E28">
        <v>19149.82</v>
      </c>
      <c r="F28">
        <v>20034.57</v>
      </c>
      <c r="G28">
        <v>17938.169999999998</v>
      </c>
      <c r="H28">
        <v>20740.47</v>
      </c>
      <c r="I28">
        <v>25915.119999999999</v>
      </c>
      <c r="J28">
        <v>26960.82</v>
      </c>
      <c r="K28">
        <v>41942.949999999997</v>
      </c>
    </row>
    <row r="29" spans="1:11" s="6" customFormat="1">
      <c r="A29" s="6" t="s">
        <v>13</v>
      </c>
      <c r="B29">
        <v>5358.21</v>
      </c>
      <c r="C29">
        <v>5549.09</v>
      </c>
      <c r="D29">
        <v>5916.43</v>
      </c>
      <c r="E29">
        <v>6313.92</v>
      </c>
      <c r="F29">
        <v>4441.79</v>
      </c>
      <c r="G29">
        <v>4555.29</v>
      </c>
      <c r="H29">
        <v>5237.34</v>
      </c>
      <c r="I29">
        <v>6438.4</v>
      </c>
      <c r="J29">
        <v>6209.46</v>
      </c>
      <c r="K29">
        <v>6890.47</v>
      </c>
    </row>
    <row r="30" spans="1:11" s="6" customFormat="1">
      <c r="A30" s="6" t="s">
        <v>14</v>
      </c>
      <c r="B30">
        <v>9344.4500000000007</v>
      </c>
      <c r="C30">
        <v>10289.44</v>
      </c>
      <c r="D30">
        <v>11271.2</v>
      </c>
      <c r="E30">
        <v>12592.33</v>
      </c>
      <c r="F30">
        <v>15306.23</v>
      </c>
      <c r="G30">
        <v>13161.19</v>
      </c>
      <c r="H30">
        <v>15242.66</v>
      </c>
      <c r="I30">
        <v>19191.66</v>
      </c>
      <c r="J30">
        <v>20458.78</v>
      </c>
      <c r="K30">
        <v>34746.629999999997</v>
      </c>
    </row>
    <row r="31" spans="1:11" s="6" customFormat="1">
      <c r="A31" s="6" t="s">
        <v>70</v>
      </c>
      <c r="B31">
        <v>6840.12</v>
      </c>
      <c r="C31">
        <v>5770.02</v>
      </c>
      <c r="D31">
        <v>6285.21</v>
      </c>
      <c r="E31">
        <v>7048.7</v>
      </c>
      <c r="F31">
        <v>12476.58</v>
      </c>
      <c r="G31">
        <v>13231.96</v>
      </c>
      <c r="H31">
        <v>14171.8</v>
      </c>
      <c r="I31">
        <v>19263.400000000001</v>
      </c>
      <c r="J31">
        <v>17166.46</v>
      </c>
      <c r="K31">
        <v>17957.73</v>
      </c>
    </row>
    <row r="32" spans="1:11" s="6" customFormat="1"/>
    <row r="33" spans="1:11">
      <c r="A33" s="6"/>
    </row>
    <row r="34" spans="1:11">
      <c r="A34" s="6"/>
    </row>
    <row r="35" spans="1:11">
      <c r="A35" s="6"/>
    </row>
    <row r="36" spans="1:11">
      <c r="A36" s="6"/>
    </row>
    <row r="37" spans="1:11">
      <c r="A37" s="6"/>
    </row>
    <row r="38" spans="1:11">
      <c r="A38" s="6"/>
    </row>
    <row r="39" spans="1:11">
      <c r="A39" s="6"/>
    </row>
    <row r="40" spans="1:11">
      <c r="A40" s="1" t="s">
        <v>39</v>
      </c>
    </row>
    <row r="41" spans="1:11" s="18" customFormat="1">
      <c r="A41" s="17" t="s">
        <v>38</v>
      </c>
      <c r="B41" s="12">
        <v>45199</v>
      </c>
      <c r="C41" s="12">
        <v>45291</v>
      </c>
      <c r="D41" s="12">
        <v>45382</v>
      </c>
      <c r="E41" s="12">
        <v>45473</v>
      </c>
      <c r="F41" s="12">
        <v>45565</v>
      </c>
      <c r="G41" s="12">
        <v>45657</v>
      </c>
      <c r="H41" s="12">
        <v>45747</v>
      </c>
      <c r="I41" s="12">
        <v>45838</v>
      </c>
      <c r="J41" s="12">
        <v>45930</v>
      </c>
      <c r="K41" s="12">
        <v>46022</v>
      </c>
    </row>
    <row r="42" spans="1:11" s="6" customFormat="1">
      <c r="A42" s="6" t="s">
        <v>6</v>
      </c>
      <c r="B42">
        <v>17774.47</v>
      </c>
      <c r="C42">
        <v>17195.240000000002</v>
      </c>
      <c r="D42">
        <v>17037.8</v>
      </c>
      <c r="E42">
        <v>17777.810000000001</v>
      </c>
      <c r="F42">
        <v>19990.36</v>
      </c>
      <c r="G42">
        <v>18790.169999999998</v>
      </c>
      <c r="H42">
        <v>18765</v>
      </c>
      <c r="I42">
        <v>21494.79</v>
      </c>
      <c r="J42">
        <v>19501.63</v>
      </c>
      <c r="K42">
        <v>20047.3</v>
      </c>
    </row>
    <row r="43" spans="1:11" s="6" customFormat="1">
      <c r="A43" s="6" t="s">
        <v>7</v>
      </c>
      <c r="B43">
        <v>11320.23</v>
      </c>
      <c r="C43">
        <v>10985.01</v>
      </c>
      <c r="D43">
        <v>10735.73</v>
      </c>
      <c r="E43">
        <v>11232.97</v>
      </c>
      <c r="F43">
        <v>13438.28</v>
      </c>
      <c r="G43">
        <v>12428.27</v>
      </c>
      <c r="H43">
        <v>12245.61</v>
      </c>
      <c r="I43">
        <v>14678.32</v>
      </c>
      <c r="J43">
        <v>12806.94</v>
      </c>
      <c r="K43">
        <v>13164.78</v>
      </c>
    </row>
    <row r="44" spans="1:11" s="6" customFormat="1">
      <c r="A44" s="6" t="s">
        <v>9</v>
      </c>
      <c r="B44">
        <v>673.5</v>
      </c>
      <c r="C44">
        <v>820.26</v>
      </c>
      <c r="D44">
        <v>868</v>
      </c>
      <c r="E44">
        <v>771.13</v>
      </c>
      <c r="F44">
        <v>690.31</v>
      </c>
      <c r="G44">
        <v>803.4</v>
      </c>
      <c r="H44">
        <v>15391.28</v>
      </c>
      <c r="I44">
        <v>750.97</v>
      </c>
      <c r="J44">
        <v>738.84</v>
      </c>
      <c r="K44">
        <v>321.85000000000002</v>
      </c>
    </row>
    <row r="45" spans="1:11" s="6" customFormat="1">
      <c r="A45" s="6" t="s">
        <v>10</v>
      </c>
      <c r="B45">
        <v>453.04</v>
      </c>
      <c r="C45">
        <v>384.04</v>
      </c>
      <c r="D45">
        <v>385.09</v>
      </c>
      <c r="E45">
        <v>403.13</v>
      </c>
      <c r="F45">
        <v>416.18</v>
      </c>
      <c r="G45">
        <v>415.98</v>
      </c>
      <c r="H45">
        <v>411.03</v>
      </c>
      <c r="I45">
        <v>422.96</v>
      </c>
      <c r="J45">
        <v>434.8</v>
      </c>
      <c r="K45">
        <v>430.82</v>
      </c>
    </row>
    <row r="46" spans="1:11" s="6" customFormat="1">
      <c r="A46" s="6" t="s">
        <v>11</v>
      </c>
      <c r="B46">
        <v>9.8699999999999992</v>
      </c>
      <c r="C46">
        <v>11.94</v>
      </c>
      <c r="D46">
        <v>10.72</v>
      </c>
      <c r="E46">
        <v>9.6</v>
      </c>
      <c r="F46">
        <v>14.73</v>
      </c>
      <c r="G46">
        <v>9.82</v>
      </c>
      <c r="H46">
        <v>10.91</v>
      </c>
      <c r="I46">
        <v>16.47</v>
      </c>
      <c r="J46">
        <v>20.05</v>
      </c>
      <c r="K46">
        <v>19.47</v>
      </c>
    </row>
    <row r="47" spans="1:11" s="6" customFormat="1">
      <c r="A47" s="6" t="s">
        <v>12</v>
      </c>
      <c r="B47">
        <v>6664.83</v>
      </c>
      <c r="C47">
        <v>6634.51</v>
      </c>
      <c r="D47">
        <v>6774.26</v>
      </c>
      <c r="E47">
        <v>6903.24</v>
      </c>
      <c r="F47">
        <v>6811.48</v>
      </c>
      <c r="G47">
        <v>6739.5</v>
      </c>
      <c r="H47">
        <v>21488.73</v>
      </c>
      <c r="I47">
        <v>7128.01</v>
      </c>
      <c r="J47">
        <v>6978.68</v>
      </c>
      <c r="K47">
        <v>6754.08</v>
      </c>
    </row>
    <row r="48" spans="1:11" s="6" customFormat="1">
      <c r="A48" s="6" t="s">
        <v>13</v>
      </c>
      <c r="B48">
        <v>1700.31</v>
      </c>
      <c r="C48">
        <v>1227.99</v>
      </c>
      <c r="D48">
        <v>1583.55</v>
      </c>
      <c r="E48">
        <v>1726.25</v>
      </c>
      <c r="F48">
        <v>1757.05</v>
      </c>
      <c r="G48">
        <v>1726.32</v>
      </c>
      <c r="H48">
        <v>1680.85</v>
      </c>
      <c r="I48">
        <v>1784.6</v>
      </c>
      <c r="J48">
        <v>1792.13</v>
      </c>
      <c r="K48">
        <v>1735.63</v>
      </c>
    </row>
    <row r="49" spans="1:11" s="6" customFormat="1">
      <c r="A49" s="6" t="s">
        <v>14</v>
      </c>
      <c r="B49">
        <v>4898.07</v>
      </c>
      <c r="C49">
        <v>5335.23</v>
      </c>
      <c r="D49">
        <v>5120.55</v>
      </c>
      <c r="E49">
        <v>5091.59</v>
      </c>
      <c r="F49">
        <v>4992.87</v>
      </c>
      <c r="G49">
        <v>4934.8</v>
      </c>
      <c r="H49">
        <v>19727.37</v>
      </c>
      <c r="I49">
        <v>5244.2</v>
      </c>
      <c r="J49">
        <v>5126.1099999999997</v>
      </c>
      <c r="K49">
        <v>4931.1899999999996</v>
      </c>
    </row>
    <row r="50" spans="1:11">
      <c r="A50" s="6" t="s">
        <v>8</v>
      </c>
      <c r="B50">
        <v>6454.24</v>
      </c>
      <c r="C50">
        <v>6210.23</v>
      </c>
      <c r="D50">
        <v>6302.07</v>
      </c>
      <c r="E50">
        <v>6544.84</v>
      </c>
      <c r="F50">
        <v>6552.08</v>
      </c>
      <c r="G50">
        <v>6361.9</v>
      </c>
      <c r="H50">
        <v>6519.39</v>
      </c>
      <c r="I50">
        <v>6816.47</v>
      </c>
      <c r="J50">
        <v>6694.69</v>
      </c>
      <c r="K50">
        <v>6882.52</v>
      </c>
    </row>
    <row r="51" spans="1:11">
      <c r="A51" s="6"/>
    </row>
    <row r="52" spans="1:11">
      <c r="A52" s="6"/>
    </row>
    <row r="53" spans="1:11">
      <c r="A53" s="6"/>
    </row>
    <row r="54" spans="1:11">
      <c r="A54" s="6"/>
    </row>
    <row r="55" spans="1:11">
      <c r="A55" s="1" t="s">
        <v>40</v>
      </c>
    </row>
    <row r="56" spans="1:11" s="18" customFormat="1">
      <c r="A56" s="17" t="s">
        <v>38</v>
      </c>
      <c r="B56" s="12">
        <v>42460</v>
      </c>
      <c r="C56" s="12">
        <v>42825</v>
      </c>
      <c r="D56" s="12">
        <v>43190</v>
      </c>
      <c r="E56" s="12">
        <v>43555</v>
      </c>
      <c r="F56" s="12">
        <v>43921</v>
      </c>
      <c r="G56" s="12">
        <v>44286</v>
      </c>
      <c r="H56" s="12">
        <v>44651</v>
      </c>
      <c r="I56" s="12">
        <v>45016</v>
      </c>
      <c r="J56" s="12">
        <v>45382</v>
      </c>
      <c r="K56" s="12">
        <v>45747</v>
      </c>
    </row>
    <row r="57" spans="1:11">
      <c r="A57" s="6" t="s">
        <v>24</v>
      </c>
      <c r="B57">
        <v>804.72</v>
      </c>
      <c r="C57">
        <v>1214.74</v>
      </c>
      <c r="D57">
        <v>1220.43</v>
      </c>
      <c r="E57">
        <v>1225.8599999999999</v>
      </c>
      <c r="F57">
        <v>1229.22</v>
      </c>
      <c r="G57">
        <v>1230.8800000000001</v>
      </c>
      <c r="H57">
        <v>1232.33</v>
      </c>
      <c r="I57">
        <v>1242.8</v>
      </c>
      <c r="J57">
        <v>1248.47</v>
      </c>
      <c r="K57">
        <v>1251.4100000000001</v>
      </c>
    </row>
    <row r="58" spans="1:11">
      <c r="A58" s="6" t="s">
        <v>25</v>
      </c>
      <c r="B58">
        <v>41874.800000000003</v>
      </c>
      <c r="C58">
        <v>45198.19</v>
      </c>
      <c r="D58">
        <v>51289.68</v>
      </c>
      <c r="E58">
        <v>57915.01</v>
      </c>
      <c r="F58">
        <v>64044.04</v>
      </c>
      <c r="G58">
        <v>59116.46</v>
      </c>
      <c r="H58">
        <v>61223.24</v>
      </c>
      <c r="I58">
        <v>67912.460000000006</v>
      </c>
      <c r="J58">
        <v>73258.53</v>
      </c>
      <c r="K58">
        <v>68778.64</v>
      </c>
    </row>
    <row r="59" spans="1:11">
      <c r="A59" s="6" t="s">
        <v>71</v>
      </c>
      <c r="B59">
        <v>83.78</v>
      </c>
      <c r="C59">
        <v>45.72</v>
      </c>
      <c r="D59">
        <v>35.92</v>
      </c>
      <c r="E59">
        <v>13.44</v>
      </c>
      <c r="F59">
        <v>277.45</v>
      </c>
      <c r="G59">
        <v>270.83</v>
      </c>
      <c r="H59">
        <v>249.44</v>
      </c>
      <c r="I59">
        <v>306.04000000000002</v>
      </c>
      <c r="J59">
        <v>303.43</v>
      </c>
      <c r="K59">
        <v>284.54000000000002</v>
      </c>
    </row>
    <row r="60" spans="1:11">
      <c r="A60" s="6" t="s">
        <v>72</v>
      </c>
      <c r="B60">
        <v>8888.0400000000009</v>
      </c>
      <c r="C60">
        <v>9439.67</v>
      </c>
      <c r="D60">
        <v>11694.85</v>
      </c>
      <c r="E60">
        <v>12584.73</v>
      </c>
      <c r="F60">
        <v>11760.04</v>
      </c>
      <c r="G60">
        <v>13142.59</v>
      </c>
      <c r="H60">
        <v>14491.01</v>
      </c>
      <c r="I60">
        <v>16369.66</v>
      </c>
      <c r="J60">
        <v>16943.54</v>
      </c>
      <c r="K60">
        <v>17688.11</v>
      </c>
    </row>
    <row r="61" spans="1:11" s="1" customFormat="1">
      <c r="A61" s="1" t="s">
        <v>26</v>
      </c>
      <c r="B61">
        <v>51651.34</v>
      </c>
      <c r="C61">
        <v>55898.32</v>
      </c>
      <c r="D61">
        <v>64240.88</v>
      </c>
      <c r="E61">
        <v>71739.039999999994</v>
      </c>
      <c r="F61">
        <v>77310.75</v>
      </c>
      <c r="G61">
        <v>73760.759999999995</v>
      </c>
      <c r="H61">
        <v>77196.02</v>
      </c>
      <c r="I61">
        <v>85830.96</v>
      </c>
      <c r="J61">
        <v>91753.97</v>
      </c>
      <c r="K61">
        <v>88002.7</v>
      </c>
    </row>
    <row r="62" spans="1:11">
      <c r="A62" s="6" t="s">
        <v>27</v>
      </c>
      <c r="B62">
        <v>15106.63</v>
      </c>
      <c r="C62">
        <v>15893.48</v>
      </c>
      <c r="D62">
        <v>16523.96</v>
      </c>
      <c r="E62">
        <v>19374.189999999999</v>
      </c>
      <c r="F62">
        <v>21713.34</v>
      </c>
      <c r="G62">
        <v>23298.48</v>
      </c>
      <c r="H62">
        <v>24231.59</v>
      </c>
      <c r="I62">
        <v>25851.27</v>
      </c>
      <c r="J62">
        <v>27820.22</v>
      </c>
      <c r="K62">
        <v>21954.85</v>
      </c>
    </row>
    <row r="63" spans="1:11">
      <c r="A63" s="6" t="s">
        <v>28</v>
      </c>
      <c r="B63">
        <v>2559.7199999999998</v>
      </c>
      <c r="C63">
        <v>3729.89</v>
      </c>
      <c r="D63">
        <v>5508.33</v>
      </c>
      <c r="E63">
        <v>4136.42</v>
      </c>
      <c r="F63">
        <v>3256.46</v>
      </c>
      <c r="G63">
        <v>4011.29</v>
      </c>
      <c r="H63">
        <v>3225.54</v>
      </c>
      <c r="I63">
        <v>3003.3</v>
      </c>
      <c r="J63">
        <v>2860.78</v>
      </c>
      <c r="K63">
        <v>1090.9100000000001</v>
      </c>
    </row>
    <row r="64" spans="1:11">
      <c r="A64" s="6" t="s">
        <v>29</v>
      </c>
      <c r="B64">
        <v>11747.59</v>
      </c>
      <c r="C64">
        <v>17581.38</v>
      </c>
      <c r="D64">
        <v>22052.86</v>
      </c>
      <c r="E64">
        <v>25043.49</v>
      </c>
      <c r="F64">
        <v>28663.35</v>
      </c>
      <c r="G64">
        <v>24870.87</v>
      </c>
      <c r="H64">
        <v>24841.01</v>
      </c>
      <c r="I64">
        <v>29415.02</v>
      </c>
      <c r="J64">
        <v>31114.02</v>
      </c>
      <c r="K64">
        <v>34719.82</v>
      </c>
    </row>
    <row r="65" spans="1:11">
      <c r="A65" s="6" t="s">
        <v>73</v>
      </c>
      <c r="B65">
        <v>22237.4</v>
      </c>
      <c r="C65">
        <v>18693.57</v>
      </c>
      <c r="D65">
        <v>20155.73</v>
      </c>
      <c r="E65">
        <v>23184.94</v>
      </c>
      <c r="F65">
        <v>23677.599999999999</v>
      </c>
      <c r="G65">
        <v>21580.12</v>
      </c>
      <c r="H65">
        <v>24897.88</v>
      </c>
      <c r="I65">
        <v>27561.37</v>
      </c>
      <c r="J65">
        <v>29958.95</v>
      </c>
      <c r="K65">
        <v>30237.119999999999</v>
      </c>
    </row>
    <row r="66" spans="1:11" s="1" customFormat="1">
      <c r="A66" s="1" t="s">
        <v>26</v>
      </c>
      <c r="B66">
        <v>51651.34</v>
      </c>
      <c r="C66">
        <v>55898.32</v>
      </c>
      <c r="D66">
        <v>64240.88</v>
      </c>
      <c r="E66">
        <v>71739.039999999994</v>
      </c>
      <c r="F66">
        <v>77310.75</v>
      </c>
      <c r="G66">
        <v>73760.759999999995</v>
      </c>
      <c r="H66">
        <v>77196.02</v>
      </c>
      <c r="I66">
        <v>85830.96</v>
      </c>
      <c r="J66">
        <v>91753.97</v>
      </c>
      <c r="K66">
        <v>88002.7</v>
      </c>
    </row>
    <row r="67" spans="1:11" s="6" customFormat="1">
      <c r="A67" s="6" t="s">
        <v>78</v>
      </c>
      <c r="B67">
        <v>1917.18</v>
      </c>
      <c r="C67">
        <v>2474.29</v>
      </c>
      <c r="D67">
        <v>2682.29</v>
      </c>
      <c r="E67">
        <v>4035.28</v>
      </c>
      <c r="F67">
        <v>2562.48</v>
      </c>
      <c r="G67">
        <v>2501.6999999999998</v>
      </c>
      <c r="H67">
        <v>2461.9</v>
      </c>
      <c r="I67">
        <v>2956.17</v>
      </c>
      <c r="J67">
        <v>4025.82</v>
      </c>
      <c r="K67">
        <v>4719.67</v>
      </c>
    </row>
    <row r="68" spans="1:11">
      <c r="A68" s="6" t="s">
        <v>45</v>
      </c>
      <c r="B68">
        <v>9062.1</v>
      </c>
      <c r="C68">
        <v>8116.1</v>
      </c>
      <c r="D68">
        <v>7495.09</v>
      </c>
      <c r="E68">
        <v>7859.56</v>
      </c>
      <c r="F68">
        <v>8879.33</v>
      </c>
      <c r="G68">
        <v>10397.16</v>
      </c>
      <c r="H68">
        <v>10864.15</v>
      </c>
      <c r="I68">
        <v>11771.16</v>
      </c>
      <c r="J68">
        <v>14152.88</v>
      </c>
      <c r="K68">
        <v>15637.56</v>
      </c>
    </row>
    <row r="69" spans="1:11">
      <c r="A69" s="4" t="s">
        <v>87</v>
      </c>
      <c r="B69">
        <v>6063.3</v>
      </c>
      <c r="C69">
        <v>2967.4</v>
      </c>
      <c r="D69">
        <v>2899.6</v>
      </c>
      <c r="E69">
        <v>4152.03</v>
      </c>
      <c r="F69">
        <v>7277.34</v>
      </c>
      <c r="G69">
        <v>4659.0200000000004</v>
      </c>
      <c r="H69">
        <v>4654.42</v>
      </c>
      <c r="I69">
        <v>4880.1899999999996</v>
      </c>
      <c r="J69">
        <v>7217.68</v>
      </c>
      <c r="K69">
        <v>4012.36</v>
      </c>
    </row>
    <row r="70" spans="1:11">
      <c r="A70" s="4" t="s">
        <v>74</v>
      </c>
      <c r="B70">
        <v>8047206991</v>
      </c>
      <c r="C70">
        <v>12147383071</v>
      </c>
      <c r="D70">
        <v>12204294911</v>
      </c>
      <c r="E70">
        <v>12258631601</v>
      </c>
      <c r="F70">
        <v>12292231241</v>
      </c>
      <c r="G70">
        <v>12308844231</v>
      </c>
      <c r="H70">
        <v>12323255931</v>
      </c>
      <c r="I70">
        <v>12428017741</v>
      </c>
      <c r="J70">
        <v>12484700000</v>
      </c>
      <c r="K70">
        <v>12514119781</v>
      </c>
    </row>
    <row r="71" spans="1:11">
      <c r="A71" s="4" t="s">
        <v>75</v>
      </c>
      <c r="C71">
        <v>4026657100</v>
      </c>
    </row>
    <row r="72" spans="1:11">
      <c r="A72" s="4" t="s">
        <v>88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</row>
    <row r="74" spans="1:11">
      <c r="A74" s="6"/>
    </row>
    <row r="75" spans="1:11">
      <c r="A75" s="6"/>
    </row>
    <row r="76" spans="1:11">
      <c r="A76" s="6"/>
    </row>
    <row r="77" spans="1:11">
      <c r="A77" s="6"/>
    </row>
    <row r="78" spans="1:11">
      <c r="A78" s="6"/>
    </row>
    <row r="79" spans="1:11">
      <c r="A79" s="6"/>
    </row>
    <row r="80" spans="1:11">
      <c r="A80" s="1" t="s">
        <v>41</v>
      </c>
    </row>
    <row r="81" spans="1:11" s="18" customFormat="1">
      <c r="A81" s="17" t="s">
        <v>38</v>
      </c>
      <c r="B81" s="12">
        <v>42460</v>
      </c>
      <c r="C81" s="12">
        <v>42825</v>
      </c>
      <c r="D81" s="12">
        <v>43190</v>
      </c>
      <c r="E81" s="12">
        <v>43555</v>
      </c>
      <c r="F81" s="12">
        <v>43921</v>
      </c>
      <c r="G81" s="12">
        <v>44286</v>
      </c>
      <c r="H81" s="12">
        <v>44651</v>
      </c>
      <c r="I81" s="12">
        <v>45016</v>
      </c>
      <c r="J81" s="12">
        <v>45382</v>
      </c>
      <c r="K81" s="12">
        <v>45747</v>
      </c>
    </row>
    <row r="82" spans="1:11" s="1" customFormat="1">
      <c r="A82" s="6" t="s">
        <v>32</v>
      </c>
      <c r="B82">
        <v>9799.0400000000009</v>
      </c>
      <c r="C82">
        <v>10627.31</v>
      </c>
      <c r="D82">
        <v>13169.4</v>
      </c>
      <c r="E82">
        <v>12583.41</v>
      </c>
      <c r="F82">
        <v>14689.66</v>
      </c>
      <c r="G82">
        <v>12526.97</v>
      </c>
      <c r="H82">
        <v>15775.51</v>
      </c>
      <c r="I82">
        <v>18877.55</v>
      </c>
      <c r="J82">
        <v>17178.86</v>
      </c>
      <c r="K82">
        <v>17627.04</v>
      </c>
    </row>
    <row r="83" spans="1:11" s="6" customFormat="1">
      <c r="A83" s="6" t="s">
        <v>33</v>
      </c>
      <c r="B83">
        <v>-3920.73</v>
      </c>
      <c r="C83">
        <v>-3250.93</v>
      </c>
      <c r="D83">
        <v>-7113.89</v>
      </c>
      <c r="E83">
        <v>-5545.68</v>
      </c>
      <c r="F83">
        <v>-6174.02</v>
      </c>
      <c r="G83">
        <v>5739.98</v>
      </c>
      <c r="H83">
        <v>-2238.4899999999998</v>
      </c>
      <c r="I83">
        <v>-5732.29</v>
      </c>
      <c r="J83">
        <v>1562.77</v>
      </c>
      <c r="K83">
        <v>-563.84</v>
      </c>
    </row>
    <row r="84" spans="1:11" s="6" customFormat="1">
      <c r="A84" s="6" t="s">
        <v>34</v>
      </c>
      <c r="B84">
        <v>-5612.52</v>
      </c>
      <c r="C84">
        <v>-7301.03</v>
      </c>
      <c r="D84">
        <v>-6221.13</v>
      </c>
      <c r="E84">
        <v>-6868.64</v>
      </c>
      <c r="F84">
        <v>-8181.48</v>
      </c>
      <c r="G84">
        <v>-18633.830000000002</v>
      </c>
      <c r="H84">
        <v>-13580.5</v>
      </c>
      <c r="I84">
        <v>-13006.03</v>
      </c>
      <c r="J84">
        <v>-18550.96</v>
      </c>
      <c r="K84">
        <v>-17037.400000000001</v>
      </c>
    </row>
    <row r="85" spans="1:11" s="1" customFormat="1">
      <c r="A85" s="6" t="s">
        <v>35</v>
      </c>
      <c r="B85">
        <v>265.79000000000002</v>
      </c>
      <c r="C85">
        <v>75.349999999999994</v>
      </c>
      <c r="D85">
        <v>-165.62</v>
      </c>
      <c r="E85">
        <v>169.09</v>
      </c>
      <c r="F85">
        <v>334.16</v>
      </c>
      <c r="G85">
        <v>-366.88</v>
      </c>
      <c r="H85">
        <v>-43.48</v>
      </c>
      <c r="I85">
        <v>139.22999999999999</v>
      </c>
      <c r="J85">
        <v>190.67</v>
      </c>
      <c r="K85">
        <v>25.8</v>
      </c>
    </row>
    <row r="86" spans="1:11">
      <c r="A86" s="6"/>
    </row>
    <row r="87" spans="1:11">
      <c r="A87" s="6"/>
    </row>
    <row r="88" spans="1:11">
      <c r="A88" s="6"/>
    </row>
    <row r="89" spans="1:11">
      <c r="A89" s="6"/>
    </row>
    <row r="90" spans="1:11" s="1" customFormat="1">
      <c r="A90" s="1" t="s">
        <v>77</v>
      </c>
      <c r="B90">
        <v>205.13</v>
      </c>
      <c r="C90">
        <v>262.75</v>
      </c>
      <c r="D90">
        <v>239.5</v>
      </c>
      <c r="E90">
        <v>278.64</v>
      </c>
      <c r="F90">
        <v>160.94999999999999</v>
      </c>
      <c r="G90">
        <v>204.82</v>
      </c>
      <c r="H90">
        <v>234.96</v>
      </c>
      <c r="I90">
        <v>359.49</v>
      </c>
      <c r="J90">
        <v>401.53</v>
      </c>
      <c r="K90">
        <v>409.75</v>
      </c>
    </row>
    <row r="92" spans="1:11" s="1" customFormat="1">
      <c r="A92" s="1" t="s">
        <v>76</v>
      </c>
    </row>
    <row r="93" spans="1:11">
      <c r="A93" s="4" t="s">
        <v>89</v>
      </c>
      <c r="B93" s="24">
        <v>1207.08</v>
      </c>
      <c r="C93" s="24">
        <v>1214.74</v>
      </c>
      <c r="D93" s="24">
        <v>1220.43</v>
      </c>
      <c r="E93" s="24">
        <v>1225.8599999999999</v>
      </c>
      <c r="F93" s="24">
        <v>1229.22</v>
      </c>
      <c r="G93" s="24">
        <v>1230.8800000000001</v>
      </c>
      <c r="H93" s="24">
        <v>1232.33</v>
      </c>
      <c r="I93" s="24">
        <v>1242.8</v>
      </c>
      <c r="J93" s="24">
        <v>1248.47</v>
      </c>
      <c r="K93" s="24">
        <v>1251.4100000000001</v>
      </c>
    </row>
  </sheetData>
  <mergeCells count="2">
    <mergeCell ref="E1:K1"/>
    <mergeCell ref="E2:K2"/>
  </mergeCells>
  <conditionalFormatting sqref="E1:K1">
    <cfRule type="cellIs" dxfId="0" priority="1" operator="notEqual">
      <formula>""</formula>
    </cfRule>
  </conditionalFormatting>
  <hyperlinks>
    <hyperlink ref="E1:K1" r:id="rId1" display="https://www.screener.in/excel/" xr:uid="{00000000-0004-0000-05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One Page Profile</vt:lpstr>
      <vt:lpstr>Share Price</vt:lpstr>
      <vt:lpstr>Profit &amp; Loss</vt:lpstr>
      <vt:lpstr>Quarters</vt:lpstr>
      <vt:lpstr>Balance Sheet</vt:lpstr>
      <vt:lpstr>Cash Flow</vt:lpstr>
      <vt:lpstr>Customization</vt:lpstr>
      <vt:lpstr>Data Sheet</vt:lpstr>
      <vt:lpstr>'One Page Profile'!Print_Area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Rawat, Raghav</cp:lastModifiedBy>
  <cp:lastPrinted>2026-04-19T20:24:33Z</cp:lastPrinted>
  <dcterms:created xsi:type="dcterms:W3CDTF">2012-08-17T09:55:37Z</dcterms:created>
  <dcterms:modified xsi:type="dcterms:W3CDTF">2026-08-12T07:28:02Z</dcterms:modified>
</cp:coreProperties>
</file>