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ghavrawat/Downloads/"/>
    </mc:Choice>
  </mc:AlternateContent>
  <xr:revisionPtr revIDLastSave="0" documentId="13_ncr:1_{E1735776-D601-754A-8436-E6491268B6AE}" xr6:coauthVersionLast="47" xr6:coauthVersionMax="47" xr10:uidLastSave="{00000000-0000-0000-0000-000000000000}"/>
  <bookViews>
    <workbookView xWindow="0" yWindow="0" windowWidth="28800" windowHeight="18000" xr2:uid="{AB50E4ED-8EAE-9C40-A0B3-208A7D13D6FE}"/>
  </bookViews>
  <sheets>
    <sheet name="DCF" sheetId="3" r:id="rId1"/>
    <sheet name="WACC" sheetId="4" r:id="rId2"/>
    <sheet name="PP&amp;E_D&amp;A " sheetId="5" r:id="rId3"/>
    <sheet name="IS - Annual" sheetId="1" state="hidden" r:id="rId4"/>
    <sheet name="CFS" sheetId="2" state="hidden" r:id="rId5"/>
    <sheet name="Historical Equity Holding" sheetId="7" state="hidden" r:id="rId6"/>
  </sheets>
  <definedNames>
    <definedName name="Energy_cost">DCF!$E$19</definedName>
    <definedName name="Energy_switch">DCF!$E$14</definedName>
    <definedName name="Insur_cost">DCF!$E$18</definedName>
    <definedName name="Insurance_Switch">DCF!$E$13</definedName>
    <definedName name="Interest_switch">DCF!$E$15</definedName>
    <definedName name="_xlnm.Print_Area" localSheetId="0">DCF!$A$1:$AC$196</definedName>
    <definedName name="TGR">DCF!$E$28</definedName>
    <definedName name="WACC">DCF!$E$27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4" i="4" l="1"/>
  <c r="I25" i="4"/>
  <c r="H25" i="4"/>
  <c r="I15" i="4"/>
  <c r="H15" i="4"/>
  <c r="I14" i="4"/>
  <c r="G25" i="4"/>
  <c r="G15" i="4"/>
  <c r="N22" i="1"/>
  <c r="K16" i="1"/>
  <c r="J16" i="1"/>
  <c r="L33" i="3" s="1"/>
  <c r="I16" i="1"/>
  <c r="H16" i="1"/>
  <c r="G16" i="1"/>
  <c r="F16" i="1"/>
  <c r="E16" i="1"/>
  <c r="D16" i="1"/>
  <c r="C16" i="1"/>
  <c r="L16" i="1"/>
  <c r="N29" i="1"/>
  <c r="N30" i="1" s="1"/>
  <c r="N180" i="3"/>
  <c r="H181" i="3"/>
  <c r="P60" i="4"/>
  <c r="Q60" i="4" s="1"/>
  <c r="N60" i="4"/>
  <c r="M60" i="4" s="1"/>
  <c r="L64" i="4"/>
  <c r="L65" i="4" s="1"/>
  <c r="L62" i="4"/>
  <c r="L61" i="4" s="1"/>
  <c r="W184" i="3"/>
  <c r="W185" i="3" s="1"/>
  <c r="W182" i="3"/>
  <c r="W181" i="3" s="1"/>
  <c r="AA180" i="3"/>
  <c r="AB180" i="3" s="1"/>
  <c r="Y180" i="3"/>
  <c r="X180" i="3" s="1"/>
  <c r="T174" i="3"/>
  <c r="T170" i="3"/>
  <c r="T169" i="3"/>
  <c r="I50" i="4"/>
  <c r="I34" i="4"/>
  <c r="I31" i="4"/>
  <c r="I23" i="4"/>
  <c r="I22" i="4"/>
  <c r="I19" i="4"/>
  <c r="I18" i="4"/>
  <c r="I17" i="4"/>
  <c r="I12" i="4"/>
  <c r="I13" i="4"/>
  <c r="I6" i="4"/>
  <c r="I9" i="4"/>
  <c r="I8" i="4"/>
  <c r="I7" i="4"/>
  <c r="I10" i="4"/>
  <c r="H20" i="4"/>
  <c r="G20" i="4"/>
  <c r="H10" i="4"/>
  <c r="G10" i="4"/>
  <c r="K77" i="3"/>
  <c r="L77" i="3" s="1"/>
  <c r="M77" i="3" s="1"/>
  <c r="N77" i="3" s="1"/>
  <c r="O77" i="3" s="1"/>
  <c r="P77" i="3" s="1"/>
  <c r="Q77" i="3" s="1"/>
  <c r="R77" i="3" s="1"/>
  <c r="S77" i="3" s="1"/>
  <c r="T77" i="3" s="1"/>
  <c r="I77" i="3"/>
  <c r="H77" i="3"/>
  <c r="G77" i="3" s="1"/>
  <c r="F77" i="3" s="1"/>
  <c r="E77" i="3" s="1"/>
  <c r="O12" i="1"/>
  <c r="P12" i="1"/>
  <c r="Q12" i="1"/>
  <c r="R12" i="1"/>
  <c r="N12" i="1"/>
  <c r="N11" i="1"/>
  <c r="M11" i="1"/>
  <c r="M12" i="1"/>
  <c r="L12" i="1"/>
  <c r="K12" i="1"/>
  <c r="J12" i="1"/>
  <c r="I12" i="1"/>
  <c r="H12" i="1"/>
  <c r="G12" i="1"/>
  <c r="F12" i="1"/>
  <c r="E12" i="1"/>
  <c r="D12" i="1"/>
  <c r="T35" i="5"/>
  <c r="T22" i="5"/>
  <c r="T19" i="5"/>
  <c r="T16" i="5"/>
  <c r="T12" i="5"/>
  <c r="T9" i="5"/>
  <c r="T6" i="5"/>
  <c r="T2" i="5"/>
  <c r="N131" i="3"/>
  <c r="M131" i="3"/>
  <c r="L131" i="3"/>
  <c r="K131" i="3"/>
  <c r="J131" i="3"/>
  <c r="I131" i="3"/>
  <c r="H131" i="3"/>
  <c r="G131" i="3"/>
  <c r="F131" i="3"/>
  <c r="N128" i="3"/>
  <c r="N129" i="3" s="1"/>
  <c r="M128" i="3"/>
  <c r="M129" i="3" s="1"/>
  <c r="L128" i="3"/>
  <c r="L129" i="3" s="1"/>
  <c r="O129" i="3" s="1"/>
  <c r="K128" i="3"/>
  <c r="K129" i="3" s="1"/>
  <c r="J128" i="3"/>
  <c r="J129" i="3" s="1"/>
  <c r="I128" i="3"/>
  <c r="I129" i="3" s="1"/>
  <c r="H128" i="3"/>
  <c r="H129" i="3" s="1"/>
  <c r="G128" i="3"/>
  <c r="G129" i="3" s="1"/>
  <c r="F128" i="3"/>
  <c r="F129" i="3" s="1"/>
  <c r="E131" i="3"/>
  <c r="B131" i="3"/>
  <c r="E128" i="3"/>
  <c r="E129" i="3" s="1"/>
  <c r="B128" i="3"/>
  <c r="L30" i="2"/>
  <c r="K30" i="2"/>
  <c r="J30" i="2"/>
  <c r="I30" i="2"/>
  <c r="H30" i="2"/>
  <c r="G30" i="2"/>
  <c r="F30" i="2"/>
  <c r="E30" i="2"/>
  <c r="D30" i="2"/>
  <c r="C30" i="2"/>
  <c r="L18" i="2"/>
  <c r="K18" i="2"/>
  <c r="J18" i="2"/>
  <c r="I18" i="2"/>
  <c r="H18" i="2"/>
  <c r="G18" i="2"/>
  <c r="F18" i="2"/>
  <c r="E18" i="2"/>
  <c r="D18" i="2"/>
  <c r="C18" i="2"/>
  <c r="L22" i="2"/>
  <c r="K22" i="2"/>
  <c r="J22" i="2"/>
  <c r="I22" i="2"/>
  <c r="H22" i="2"/>
  <c r="G22" i="2"/>
  <c r="F22" i="2"/>
  <c r="E22" i="2"/>
  <c r="D22" i="2"/>
  <c r="C22" i="2"/>
  <c r="L17" i="1"/>
  <c r="K17" i="1"/>
  <c r="J17" i="1"/>
  <c r="I17" i="1"/>
  <c r="H17" i="1"/>
  <c r="G17" i="1"/>
  <c r="F17" i="1"/>
  <c r="E17" i="1"/>
  <c r="D17" i="1"/>
  <c r="C17" i="1"/>
  <c r="O54" i="3"/>
  <c r="K17" i="3"/>
  <c r="O53" i="3" s="1"/>
  <c r="P53" i="3" s="1"/>
  <c r="Q53" i="3" s="1"/>
  <c r="R53" i="3" s="1"/>
  <c r="S53" i="3" s="1"/>
  <c r="T53" i="3" s="1"/>
  <c r="W17" i="3"/>
  <c r="O55" i="3" s="1"/>
  <c r="P55" i="3" s="1"/>
  <c r="Q55" i="3" s="1"/>
  <c r="R55" i="3" s="1"/>
  <c r="S55" i="3" s="1"/>
  <c r="T55" i="3" s="1"/>
  <c r="S17" i="3"/>
  <c r="G17" i="3"/>
  <c r="M17" i="3"/>
  <c r="B15" i="3"/>
  <c r="G15" i="3"/>
  <c r="G16" i="3"/>
  <c r="P49" i="3"/>
  <c r="Q49" i="3" s="1"/>
  <c r="R49" i="3" s="1"/>
  <c r="S49" i="3" s="1"/>
  <c r="T49" i="3" s="1"/>
  <c r="N48" i="3"/>
  <c r="M48" i="3"/>
  <c r="L48" i="3"/>
  <c r="K48" i="3"/>
  <c r="J48" i="3"/>
  <c r="I48" i="3"/>
  <c r="H48" i="3"/>
  <c r="G48" i="3"/>
  <c r="F48" i="3"/>
  <c r="E48" i="3"/>
  <c r="N51" i="3"/>
  <c r="N87" i="3" s="1"/>
  <c r="M51" i="3"/>
  <c r="M87" i="3" s="1"/>
  <c r="L51" i="3"/>
  <c r="L87" i="3" s="1"/>
  <c r="K51" i="3"/>
  <c r="K87" i="3" s="1"/>
  <c r="J51" i="3"/>
  <c r="J87" i="3" s="1"/>
  <c r="I51" i="3"/>
  <c r="I87" i="3" s="1"/>
  <c r="H51" i="3"/>
  <c r="H87" i="3" s="1"/>
  <c r="G51" i="3"/>
  <c r="G87" i="3" s="1"/>
  <c r="F51" i="3"/>
  <c r="F87" i="3" s="1"/>
  <c r="E51" i="3"/>
  <c r="E87" i="3" s="1"/>
  <c r="D5" i="7"/>
  <c r="E5" i="7" s="1"/>
  <c r="F5" i="7" s="1"/>
  <c r="G5" i="7" s="1"/>
  <c r="H5" i="7" s="1"/>
  <c r="I5" i="7" s="1"/>
  <c r="J5" i="7" s="1"/>
  <c r="K5" i="7" s="1"/>
  <c r="L5" i="7" s="1"/>
  <c r="I63" i="5"/>
  <c r="H63" i="5"/>
  <c r="G63" i="5"/>
  <c r="F63" i="5"/>
  <c r="E63" i="5"/>
  <c r="I55" i="5"/>
  <c r="H55" i="5"/>
  <c r="G55" i="5"/>
  <c r="F55" i="5"/>
  <c r="E55" i="5"/>
  <c r="I49" i="5"/>
  <c r="H49" i="5"/>
  <c r="G49" i="5"/>
  <c r="F49" i="5"/>
  <c r="E49" i="5"/>
  <c r="I39" i="5"/>
  <c r="H39" i="5"/>
  <c r="G39" i="5"/>
  <c r="F39" i="5"/>
  <c r="E39" i="5"/>
  <c r="I44" i="5"/>
  <c r="H44" i="5"/>
  <c r="G44" i="5"/>
  <c r="F44" i="5"/>
  <c r="E44" i="5"/>
  <c r="I43" i="5"/>
  <c r="H43" i="5"/>
  <c r="G43" i="5"/>
  <c r="J43" i="5"/>
  <c r="J44" i="5" s="1"/>
  <c r="J55" i="5" s="1"/>
  <c r="F43" i="5"/>
  <c r="J38" i="5"/>
  <c r="J39" i="5" s="1"/>
  <c r="J49" i="5" s="1"/>
  <c r="I38" i="5"/>
  <c r="H38" i="5"/>
  <c r="G38" i="5"/>
  <c r="F38" i="5"/>
  <c r="H35" i="5"/>
  <c r="G35" i="5" s="1"/>
  <c r="F35" i="5" s="1"/>
  <c r="E35" i="5" s="1"/>
  <c r="I35" i="5"/>
  <c r="I9" i="5"/>
  <c r="I19" i="5" s="1"/>
  <c r="H19" i="5"/>
  <c r="G19" i="5"/>
  <c r="F19" i="5"/>
  <c r="E19" i="5"/>
  <c r="H16" i="5"/>
  <c r="G16" i="5"/>
  <c r="F16" i="5"/>
  <c r="E16" i="5"/>
  <c r="I33" i="5"/>
  <c r="H33" i="5"/>
  <c r="H21" i="5" s="1"/>
  <c r="G33" i="5"/>
  <c r="G21" i="5" s="1"/>
  <c r="F33" i="5"/>
  <c r="F21" i="5" s="1"/>
  <c r="E33" i="5"/>
  <c r="E21" i="5" s="1"/>
  <c r="H9" i="5"/>
  <c r="G9" i="5"/>
  <c r="F9" i="5"/>
  <c r="E9" i="5"/>
  <c r="H6" i="5"/>
  <c r="G6" i="5"/>
  <c r="F6" i="5"/>
  <c r="E6" i="5"/>
  <c r="I11" i="5"/>
  <c r="H11" i="5"/>
  <c r="H12" i="5" s="1"/>
  <c r="G11" i="5"/>
  <c r="G12" i="5" s="1"/>
  <c r="F11" i="5"/>
  <c r="F12" i="5" s="1"/>
  <c r="E11" i="5"/>
  <c r="E12" i="5" s="1"/>
  <c r="H2" i="5"/>
  <c r="G2" i="5"/>
  <c r="F2" i="5" s="1"/>
  <c r="E2" i="5" s="1"/>
  <c r="I2" i="5"/>
  <c r="I99" i="3"/>
  <c r="H99" i="3" s="1"/>
  <c r="G99" i="3" s="1"/>
  <c r="F99" i="3" s="1"/>
  <c r="E99" i="3" s="1"/>
  <c r="E101" i="3"/>
  <c r="F101" i="3"/>
  <c r="G101" i="3"/>
  <c r="H101" i="3"/>
  <c r="I101" i="3"/>
  <c r="E102" i="3"/>
  <c r="F102" i="3"/>
  <c r="G102" i="3"/>
  <c r="H102" i="3"/>
  <c r="I102" i="3"/>
  <c r="H103" i="3"/>
  <c r="I105" i="3"/>
  <c r="H105" i="3" s="1"/>
  <c r="G105" i="3" s="1"/>
  <c r="F105" i="3" s="1"/>
  <c r="E105" i="3" s="1"/>
  <c r="I137" i="3"/>
  <c r="H137" i="3" s="1"/>
  <c r="G137" i="3" s="1"/>
  <c r="F137" i="3" s="1"/>
  <c r="E137" i="3" s="1"/>
  <c r="B112" i="3"/>
  <c r="B109" i="3"/>
  <c r="N63" i="5"/>
  <c r="M63" i="5"/>
  <c r="L63" i="5"/>
  <c r="K63" i="5"/>
  <c r="J63" i="5"/>
  <c r="N43" i="5"/>
  <c r="N44" i="5" s="1"/>
  <c r="N55" i="5" s="1"/>
  <c r="M43" i="5"/>
  <c r="M44" i="5" s="1"/>
  <c r="M55" i="5" s="1"/>
  <c r="L43" i="5"/>
  <c r="L44" i="5" s="1"/>
  <c r="L55" i="5" s="1"/>
  <c r="K43" i="5"/>
  <c r="K44" i="5" s="1"/>
  <c r="K55" i="5" s="1"/>
  <c r="N38" i="5"/>
  <c r="N39" i="5" s="1"/>
  <c r="N49" i="5" s="1"/>
  <c r="M38" i="5"/>
  <c r="M39" i="5" s="1"/>
  <c r="M49" i="5" s="1"/>
  <c r="L38" i="5"/>
  <c r="L39" i="5" s="1"/>
  <c r="L49" i="5" s="1"/>
  <c r="K38" i="5"/>
  <c r="K39" i="5" s="1"/>
  <c r="K49" i="5" s="1"/>
  <c r="K35" i="5"/>
  <c r="L35" i="5" s="1"/>
  <c r="M35" i="5" s="1"/>
  <c r="N35" i="5" s="1"/>
  <c r="O35" i="5" s="1"/>
  <c r="P35" i="5" s="1"/>
  <c r="Q35" i="5" s="1"/>
  <c r="R35" i="5" s="1"/>
  <c r="S35" i="5" s="1"/>
  <c r="N33" i="5"/>
  <c r="M33" i="5"/>
  <c r="L33" i="5"/>
  <c r="K33" i="5"/>
  <c r="J33" i="5"/>
  <c r="N11" i="5"/>
  <c r="M11" i="5"/>
  <c r="L11" i="5"/>
  <c r="K11" i="5"/>
  <c r="J11" i="5"/>
  <c r="K2" i="5"/>
  <c r="N33" i="3"/>
  <c r="M33" i="3"/>
  <c r="K33" i="3"/>
  <c r="J33" i="3"/>
  <c r="I33" i="3"/>
  <c r="H33" i="3"/>
  <c r="G33" i="3"/>
  <c r="F33" i="3"/>
  <c r="E33" i="3"/>
  <c r="K137" i="3"/>
  <c r="T71" i="3"/>
  <c r="W23" i="3"/>
  <c r="K23" i="3"/>
  <c r="O66" i="3"/>
  <c r="O64" i="3"/>
  <c r="T65" i="3"/>
  <c r="S65" i="3"/>
  <c r="R65" i="3"/>
  <c r="Q65" i="3"/>
  <c r="P65" i="3"/>
  <c r="W21" i="3"/>
  <c r="K21" i="3"/>
  <c r="S23" i="3"/>
  <c r="S22" i="3"/>
  <c r="S21" i="3"/>
  <c r="S20" i="3"/>
  <c r="G23" i="3"/>
  <c r="G22" i="3"/>
  <c r="G21" i="3"/>
  <c r="G20" i="3"/>
  <c r="M23" i="3"/>
  <c r="M22" i="3"/>
  <c r="M21" i="3"/>
  <c r="M20" i="3"/>
  <c r="T43" i="3"/>
  <c r="T41" i="3"/>
  <c r="T42" i="3"/>
  <c r="T37" i="3"/>
  <c r="T35" i="3"/>
  <c r="P29" i="3"/>
  <c r="T36" i="3"/>
  <c r="K105" i="3"/>
  <c r="N102" i="3"/>
  <c r="M102" i="3"/>
  <c r="L102" i="3"/>
  <c r="K102" i="3"/>
  <c r="J102" i="3"/>
  <c r="K101" i="3"/>
  <c r="J101" i="3"/>
  <c r="K99" i="3"/>
  <c r="N68" i="3"/>
  <c r="M68" i="3"/>
  <c r="L68" i="3"/>
  <c r="K68" i="3"/>
  <c r="J68" i="3"/>
  <c r="I68" i="3"/>
  <c r="H68" i="3"/>
  <c r="G68" i="3"/>
  <c r="F68" i="3"/>
  <c r="E68" i="3"/>
  <c r="N62" i="3"/>
  <c r="M62" i="3"/>
  <c r="L62" i="3"/>
  <c r="K62" i="3"/>
  <c r="J62" i="3"/>
  <c r="I62" i="3"/>
  <c r="H62" i="3"/>
  <c r="G62" i="3"/>
  <c r="F62" i="3"/>
  <c r="E62" i="3"/>
  <c r="K60" i="3"/>
  <c r="I60" i="3"/>
  <c r="B19" i="3"/>
  <c r="B18" i="3"/>
  <c r="B14" i="3"/>
  <c r="B13" i="3"/>
  <c r="S16" i="3"/>
  <c r="S15" i="3"/>
  <c r="S14" i="3"/>
  <c r="S13" i="3"/>
  <c r="M16" i="3"/>
  <c r="M14" i="3"/>
  <c r="G14" i="3"/>
  <c r="G13" i="3"/>
  <c r="E6" i="3"/>
  <c r="O162" i="3" s="1"/>
  <c r="E39" i="3"/>
  <c r="E83" i="3" s="1"/>
  <c r="E84" i="3" s="1"/>
  <c r="J39" i="3"/>
  <c r="J83" i="3" s="1"/>
  <c r="I39" i="3"/>
  <c r="I83" i="3" s="1"/>
  <c r="H39" i="3"/>
  <c r="H83" i="3" s="1"/>
  <c r="G39" i="3"/>
  <c r="G83" i="3" s="1"/>
  <c r="F39" i="3"/>
  <c r="F83" i="3" s="1"/>
  <c r="N39" i="3"/>
  <c r="N83" i="3" s="1"/>
  <c r="M39" i="3"/>
  <c r="M83" i="3" s="1"/>
  <c r="L39" i="3"/>
  <c r="L83" i="3" s="1"/>
  <c r="K39" i="3"/>
  <c r="K83" i="3" s="1"/>
  <c r="I31" i="3"/>
  <c r="K31" i="3"/>
  <c r="L70" i="2"/>
  <c r="K70" i="2"/>
  <c r="L17" i="2"/>
  <c r="K17" i="2"/>
  <c r="J70" i="2"/>
  <c r="J17" i="2"/>
  <c r="D5" i="2"/>
  <c r="L57" i="1"/>
  <c r="K57" i="1"/>
  <c r="L47" i="1"/>
  <c r="K47" i="1"/>
  <c r="H57" i="1"/>
  <c r="I57" i="1"/>
  <c r="J57" i="1"/>
  <c r="J47" i="1"/>
  <c r="D5" i="1"/>
  <c r="N79" i="3" l="1"/>
  <c r="M79" i="3"/>
  <c r="L79" i="3"/>
  <c r="K79" i="3"/>
  <c r="J79" i="3"/>
  <c r="I79" i="3"/>
  <c r="H79" i="3"/>
  <c r="G79" i="3"/>
  <c r="F79" i="3"/>
  <c r="E79" i="3"/>
  <c r="I39" i="4"/>
  <c r="T171" i="3"/>
  <c r="I49" i="4"/>
  <c r="I48" i="4" s="1"/>
  <c r="I53" i="4" s="1"/>
  <c r="O163" i="3"/>
  <c r="P163" i="3"/>
  <c r="I37" i="4"/>
  <c r="I20" i="4"/>
  <c r="N84" i="3"/>
  <c r="M84" i="3"/>
  <c r="L84" i="3"/>
  <c r="K84" i="3"/>
  <c r="J84" i="3"/>
  <c r="I84" i="3"/>
  <c r="H84" i="3"/>
  <c r="G84" i="3"/>
  <c r="F84" i="3"/>
  <c r="I103" i="3"/>
  <c r="G103" i="3"/>
  <c r="J45" i="3"/>
  <c r="E45" i="3"/>
  <c r="E64" i="5" s="1"/>
  <c r="I45" i="3"/>
  <c r="I64" i="5" s="1"/>
  <c r="P129" i="3"/>
  <c r="O128" i="3"/>
  <c r="O11" i="1"/>
  <c r="P11" i="1"/>
  <c r="Q11" i="1" s="1"/>
  <c r="R11" i="1" s="1"/>
  <c r="H45" i="3"/>
  <c r="H64" i="5" s="1"/>
  <c r="N134" i="3"/>
  <c r="M134" i="3"/>
  <c r="L134" i="3"/>
  <c r="K134" i="3"/>
  <c r="J134" i="3"/>
  <c r="I134" i="3"/>
  <c r="H134" i="3"/>
  <c r="G134" i="3"/>
  <c r="F134" i="3"/>
  <c r="E134" i="3"/>
  <c r="H22" i="5"/>
  <c r="H15" i="5"/>
  <c r="H25" i="5" s="1"/>
  <c r="H108" i="3" s="1"/>
  <c r="H18" i="5"/>
  <c r="H29" i="5" s="1"/>
  <c r="G22" i="5"/>
  <c r="G15" i="5"/>
  <c r="G25" i="5" s="1"/>
  <c r="G108" i="3" s="1"/>
  <c r="G18" i="5"/>
  <c r="G29" i="5" s="1"/>
  <c r="G111" i="3" s="1"/>
  <c r="F22" i="5"/>
  <c r="F15" i="5"/>
  <c r="F25" i="5" s="1"/>
  <c r="F108" i="3" s="1"/>
  <c r="F18" i="5"/>
  <c r="F29" i="5" s="1"/>
  <c r="F111" i="3" s="1"/>
  <c r="F114" i="3" s="1"/>
  <c r="F95" i="3" s="1"/>
  <c r="E22" i="5"/>
  <c r="E15" i="5"/>
  <c r="E25" i="5" s="1"/>
  <c r="E108" i="3" s="1"/>
  <c r="E18" i="5"/>
  <c r="E29" i="5" s="1"/>
  <c r="E111" i="3" s="1"/>
  <c r="N52" i="3"/>
  <c r="M52" i="3"/>
  <c r="L52" i="3"/>
  <c r="K52" i="3"/>
  <c r="J52" i="3"/>
  <c r="I52" i="3"/>
  <c r="H52" i="3"/>
  <c r="G52" i="3"/>
  <c r="F52" i="3"/>
  <c r="E52" i="3"/>
  <c r="F45" i="3"/>
  <c r="F64" i="5" s="1"/>
  <c r="O52" i="3"/>
  <c r="P54" i="3"/>
  <c r="M49" i="3"/>
  <c r="L49" i="3"/>
  <c r="K49" i="3"/>
  <c r="J49" i="3"/>
  <c r="I49" i="3"/>
  <c r="H49" i="3"/>
  <c r="G49" i="3"/>
  <c r="F49" i="3"/>
  <c r="F103" i="3"/>
  <c r="O48" i="3"/>
  <c r="P48" i="3" s="1"/>
  <c r="Q48" i="3" s="1"/>
  <c r="R48" i="3" s="1"/>
  <c r="S48" i="3" s="1"/>
  <c r="T48" i="3" s="1"/>
  <c r="N49" i="3"/>
  <c r="E103" i="3"/>
  <c r="G45" i="3"/>
  <c r="G64" i="5" s="1"/>
  <c r="I61" i="5"/>
  <c r="I50" i="5" s="1"/>
  <c r="I52" i="5" s="1"/>
  <c r="I56" i="5"/>
  <c r="I58" i="5" s="1"/>
  <c r="H61" i="5"/>
  <c r="H50" i="5" s="1"/>
  <c r="H52" i="5" s="1"/>
  <c r="H56" i="5"/>
  <c r="H58" i="5" s="1"/>
  <c r="G61" i="5"/>
  <c r="G50" i="5" s="1"/>
  <c r="G52" i="5" s="1"/>
  <c r="G56" i="5"/>
  <c r="G58" i="5" s="1"/>
  <c r="F61" i="5"/>
  <c r="E61" i="5"/>
  <c r="E50" i="5" s="1"/>
  <c r="E52" i="5" s="1"/>
  <c r="E56" i="5"/>
  <c r="E58" i="5" s="1"/>
  <c r="I12" i="5"/>
  <c r="I6" i="5"/>
  <c r="I16" i="5" s="1"/>
  <c r="I21" i="5"/>
  <c r="I18" i="5" s="1"/>
  <c r="I29" i="5" s="1"/>
  <c r="I111" i="3" s="1"/>
  <c r="I22" i="5"/>
  <c r="I15" i="5"/>
  <c r="I25" i="5" s="1"/>
  <c r="I108" i="3" s="1"/>
  <c r="H31" i="5"/>
  <c r="H112" i="3" s="1"/>
  <c r="G31" i="5"/>
  <c r="G112" i="3" s="1"/>
  <c r="G30" i="5"/>
  <c r="F31" i="5"/>
  <c r="F112" i="3" s="1"/>
  <c r="F30" i="5"/>
  <c r="E31" i="5"/>
  <c r="E112" i="3" s="1"/>
  <c r="E30" i="5"/>
  <c r="H27" i="5"/>
  <c r="H109" i="3" s="1"/>
  <c r="H26" i="5"/>
  <c r="G27" i="5"/>
  <c r="G109" i="3" s="1"/>
  <c r="G26" i="5"/>
  <c r="F27" i="5"/>
  <c r="F109" i="3" s="1"/>
  <c r="F26" i="5"/>
  <c r="E27" i="5"/>
  <c r="E109" i="3" s="1"/>
  <c r="E26" i="5"/>
  <c r="J61" i="5"/>
  <c r="K12" i="5"/>
  <c r="J12" i="5"/>
  <c r="N12" i="5"/>
  <c r="M12" i="5"/>
  <c r="L12" i="5"/>
  <c r="N61" i="5"/>
  <c r="M61" i="5"/>
  <c r="L61" i="5"/>
  <c r="L50" i="5" s="1"/>
  <c r="L52" i="5" s="1"/>
  <c r="L118" i="3" s="1"/>
  <c r="L56" i="5"/>
  <c r="L58" i="5" s="1"/>
  <c r="K61" i="5"/>
  <c r="M21" i="5"/>
  <c r="M22" i="5" s="1"/>
  <c r="L21" i="5"/>
  <c r="L22" i="5" s="1"/>
  <c r="K21" i="5"/>
  <c r="K22" i="5" s="1"/>
  <c r="J21" i="5"/>
  <c r="J22" i="5" s="1"/>
  <c r="N21" i="5"/>
  <c r="N22" i="5" s="1"/>
  <c r="N6" i="5"/>
  <c r="N16" i="5" s="1"/>
  <c r="N9" i="5"/>
  <c r="M6" i="5"/>
  <c r="M16" i="5" s="1"/>
  <c r="M9" i="5"/>
  <c r="L6" i="5"/>
  <c r="L9" i="5"/>
  <c r="K6" i="5"/>
  <c r="K16" i="5" s="1"/>
  <c r="K9" i="5"/>
  <c r="K19" i="5" s="1"/>
  <c r="N45" i="3"/>
  <c r="N64" i="5" s="1"/>
  <c r="M45" i="3"/>
  <c r="M64" i="5" s="1"/>
  <c r="L45" i="3"/>
  <c r="L64" i="5" s="1"/>
  <c r="K45" i="3"/>
  <c r="J9" i="5"/>
  <c r="J6" i="5"/>
  <c r="L2" i="5"/>
  <c r="N57" i="3"/>
  <c r="M57" i="3"/>
  <c r="L57" i="3"/>
  <c r="K57" i="3"/>
  <c r="J57" i="3"/>
  <c r="I57" i="3"/>
  <c r="H57" i="3"/>
  <c r="G57" i="3"/>
  <c r="F57" i="3"/>
  <c r="E57" i="3"/>
  <c r="E132" i="3" s="1"/>
  <c r="T63" i="3"/>
  <c r="S63" i="3"/>
  <c r="R63" i="3"/>
  <c r="Q63" i="3"/>
  <c r="P63" i="3"/>
  <c r="T66" i="3"/>
  <c r="S66" i="3"/>
  <c r="R66" i="3"/>
  <c r="Q66" i="3"/>
  <c r="P66" i="3"/>
  <c r="T64" i="3"/>
  <c r="S64" i="3"/>
  <c r="R64" i="3"/>
  <c r="Q29" i="3"/>
  <c r="T70" i="3"/>
  <c r="Q64" i="3"/>
  <c r="P64" i="3"/>
  <c r="T69" i="3"/>
  <c r="T72" i="3"/>
  <c r="N74" i="3"/>
  <c r="M74" i="3"/>
  <c r="L74" i="3"/>
  <c r="K74" i="3"/>
  <c r="J74" i="3"/>
  <c r="I74" i="3"/>
  <c r="H74" i="3"/>
  <c r="G74" i="3"/>
  <c r="F74" i="3"/>
  <c r="E74" i="3"/>
  <c r="N69" i="3"/>
  <c r="K69" i="3"/>
  <c r="K59" i="1"/>
  <c r="M69" i="3"/>
  <c r="E5" i="1"/>
  <c r="K103" i="3"/>
  <c r="J103" i="3"/>
  <c r="L69" i="3"/>
  <c r="J69" i="3"/>
  <c r="I69" i="3"/>
  <c r="H69" i="3"/>
  <c r="G69" i="3"/>
  <c r="F69" i="3"/>
  <c r="E69" i="3"/>
  <c r="N63" i="3"/>
  <c r="M63" i="3"/>
  <c r="L63" i="3"/>
  <c r="K63" i="3"/>
  <c r="J63" i="3"/>
  <c r="I63" i="3"/>
  <c r="H63" i="3"/>
  <c r="G63" i="3"/>
  <c r="F63" i="3"/>
  <c r="E63" i="3"/>
  <c r="L59" i="1"/>
  <c r="N101" i="3" s="1"/>
  <c r="L137" i="3"/>
  <c r="M137" i="3" s="1"/>
  <c r="N137" i="3" s="1"/>
  <c r="O137" i="3" s="1"/>
  <c r="P137" i="3" s="1"/>
  <c r="Q137" i="3" s="1"/>
  <c r="R137" i="3" s="1"/>
  <c r="S137" i="3" s="1"/>
  <c r="T137" i="3" s="1"/>
  <c r="H31" i="3"/>
  <c r="H60" i="3"/>
  <c r="T34" i="3"/>
  <c r="T40" i="3"/>
  <c r="L105" i="3"/>
  <c r="M105" i="3" s="1"/>
  <c r="N105" i="3" s="1"/>
  <c r="O105" i="3" s="1"/>
  <c r="P105" i="3" s="1"/>
  <c r="Q105" i="3" s="1"/>
  <c r="R105" i="3" s="1"/>
  <c r="S105" i="3" s="1"/>
  <c r="T105" i="3" s="1"/>
  <c r="L99" i="3"/>
  <c r="M99" i="3" s="1"/>
  <c r="N99" i="3" s="1"/>
  <c r="L60" i="3"/>
  <c r="M60" i="3" s="1"/>
  <c r="N60" i="3" s="1"/>
  <c r="O60" i="3" s="1"/>
  <c r="P60" i="3" s="1"/>
  <c r="Q60" i="3" s="1"/>
  <c r="R60" i="3" s="1"/>
  <c r="S60" i="3" s="1"/>
  <c r="T60" i="3" s="1"/>
  <c r="I34" i="3"/>
  <c r="H34" i="3"/>
  <c r="G34" i="3"/>
  <c r="F34" i="3"/>
  <c r="I40" i="3"/>
  <c r="J40" i="3"/>
  <c r="H40" i="3"/>
  <c r="G40" i="3"/>
  <c r="F40" i="3"/>
  <c r="N40" i="3"/>
  <c r="M40" i="3"/>
  <c r="L40" i="3"/>
  <c r="K40" i="3"/>
  <c r="N34" i="3"/>
  <c r="M34" i="3"/>
  <c r="L34" i="3"/>
  <c r="K34" i="3"/>
  <c r="J34" i="3"/>
  <c r="J59" i="1"/>
  <c r="L31" i="3"/>
  <c r="E5" i="2"/>
  <c r="F5" i="2" s="1"/>
  <c r="G5" i="2" s="1"/>
  <c r="H5" i="2" s="1"/>
  <c r="I5" i="2" s="1"/>
  <c r="J5" i="2" s="1"/>
  <c r="K5" i="2" s="1"/>
  <c r="L5" i="2" s="1"/>
  <c r="Q22" i="3" l="1"/>
  <c r="K22" i="3"/>
  <c r="W22" i="3"/>
  <c r="O72" i="3" s="1"/>
  <c r="I27" i="4"/>
  <c r="I45" i="4" s="1"/>
  <c r="I43" i="4" s="1"/>
  <c r="I56" i="4" s="1"/>
  <c r="O42" i="3"/>
  <c r="O36" i="3"/>
  <c r="N80" i="3"/>
  <c r="N90" i="3"/>
  <c r="N94" i="3" s="1"/>
  <c r="M80" i="3"/>
  <c r="M90" i="3"/>
  <c r="M94" i="3" s="1"/>
  <c r="L80" i="3"/>
  <c r="L90" i="3"/>
  <c r="L94" i="3" s="1"/>
  <c r="K80" i="3"/>
  <c r="K90" i="3"/>
  <c r="K94" i="3" s="1"/>
  <c r="J80" i="3"/>
  <c r="J90" i="3"/>
  <c r="J94" i="3" s="1"/>
  <c r="I80" i="3"/>
  <c r="I90" i="3"/>
  <c r="I94" i="3" s="1"/>
  <c r="H80" i="3"/>
  <c r="H90" i="3"/>
  <c r="H94" i="3" s="1"/>
  <c r="G80" i="3"/>
  <c r="G90" i="3"/>
  <c r="G94" i="3" s="1"/>
  <c r="F80" i="3"/>
  <c r="F90" i="3"/>
  <c r="F94" i="3" s="1"/>
  <c r="F96" i="3" s="1"/>
  <c r="F97" i="3" s="1"/>
  <c r="E80" i="3"/>
  <c r="E90" i="3"/>
  <c r="E94" i="3" s="1"/>
  <c r="Q163" i="3"/>
  <c r="I32" i="4"/>
  <c r="I52" i="4" s="1"/>
  <c r="I35" i="4"/>
  <c r="I55" i="4" s="1"/>
  <c r="E114" i="3"/>
  <c r="E95" i="3" s="1"/>
  <c r="G114" i="3"/>
  <c r="G95" i="3" s="1"/>
  <c r="J64" i="5"/>
  <c r="J46" i="3"/>
  <c r="P128" i="3"/>
  <c r="Q129" i="3"/>
  <c r="E135" i="3"/>
  <c r="N132" i="3"/>
  <c r="N135" i="3"/>
  <c r="M132" i="3"/>
  <c r="M135" i="3"/>
  <c r="L132" i="3"/>
  <c r="L135" i="3"/>
  <c r="K132" i="3"/>
  <c r="K135" i="3"/>
  <c r="J132" i="3"/>
  <c r="J135" i="3"/>
  <c r="I132" i="3"/>
  <c r="I135" i="3"/>
  <c r="H132" i="3"/>
  <c r="H135" i="3"/>
  <c r="G132" i="3"/>
  <c r="G135" i="3"/>
  <c r="F132" i="3"/>
  <c r="F135" i="3"/>
  <c r="H111" i="3"/>
  <c r="H114" i="3" s="1"/>
  <c r="H95" i="3" s="1"/>
  <c r="H30" i="5"/>
  <c r="I53" i="5"/>
  <c r="I119" i="3" s="1"/>
  <c r="I118" i="3"/>
  <c r="I59" i="5"/>
  <c r="I122" i="3" s="1"/>
  <c r="I121" i="3"/>
  <c r="H53" i="5"/>
  <c r="H119" i="3" s="1"/>
  <c r="H118" i="3"/>
  <c r="H59" i="5"/>
  <c r="H122" i="3" s="1"/>
  <c r="H121" i="3"/>
  <c r="H124" i="3" s="1"/>
  <c r="G53" i="5"/>
  <c r="G119" i="3" s="1"/>
  <c r="G118" i="3"/>
  <c r="G59" i="5"/>
  <c r="G122" i="3" s="1"/>
  <c r="G121" i="3"/>
  <c r="G124" i="3" s="1"/>
  <c r="E53" i="5"/>
  <c r="E119" i="3" s="1"/>
  <c r="E118" i="3"/>
  <c r="E59" i="5"/>
  <c r="E122" i="3" s="1"/>
  <c r="E121" i="3"/>
  <c r="E124" i="3" s="1"/>
  <c r="I114" i="3"/>
  <c r="I95" i="3" s="1"/>
  <c r="Q54" i="3"/>
  <c r="P52" i="3"/>
  <c r="P51" i="3" s="1"/>
  <c r="P87" i="3" s="1"/>
  <c r="O51" i="3"/>
  <c r="O87" i="3" s="1"/>
  <c r="F115" i="3"/>
  <c r="O64" i="5"/>
  <c r="P64" i="5" s="1"/>
  <c r="Q64" i="5" s="1"/>
  <c r="L59" i="5"/>
  <c r="L122" i="3" s="1"/>
  <c r="L121" i="3"/>
  <c r="L124" i="3" s="1"/>
  <c r="F50" i="5"/>
  <c r="F52" i="5" s="1"/>
  <c r="F56" i="5"/>
  <c r="F58" i="5" s="1"/>
  <c r="J56" i="5"/>
  <c r="J58" i="5" s="1"/>
  <c r="J50" i="5"/>
  <c r="J52" i="5" s="1"/>
  <c r="I31" i="5"/>
  <c r="I112" i="3" s="1"/>
  <c r="I30" i="5"/>
  <c r="I27" i="5"/>
  <c r="I109" i="3" s="1"/>
  <c r="I26" i="5"/>
  <c r="K64" i="5"/>
  <c r="K46" i="3"/>
  <c r="Q20" i="3"/>
  <c r="N75" i="3"/>
  <c r="M75" i="3"/>
  <c r="L75" i="3"/>
  <c r="L46" i="3"/>
  <c r="K75" i="3"/>
  <c r="F58" i="3"/>
  <c r="J75" i="3"/>
  <c r="I75" i="3"/>
  <c r="H75" i="3"/>
  <c r="G75" i="3"/>
  <c r="F75" i="3"/>
  <c r="E75" i="3"/>
  <c r="L53" i="5"/>
  <c r="L119" i="3" s="1"/>
  <c r="N15" i="5"/>
  <c r="N25" i="5" s="1"/>
  <c r="N108" i="3" s="1"/>
  <c r="O12" i="5"/>
  <c r="P12" i="5" s="1"/>
  <c r="Q12" i="5" s="1"/>
  <c r="R12" i="5" s="1"/>
  <c r="S12" i="5" s="1"/>
  <c r="M50" i="5"/>
  <c r="M52" i="5" s="1"/>
  <c r="M118" i="3" s="1"/>
  <c r="M56" i="5"/>
  <c r="M58" i="5" s="1"/>
  <c r="K50" i="5"/>
  <c r="K52" i="5" s="1"/>
  <c r="K118" i="3" s="1"/>
  <c r="K56" i="5"/>
  <c r="K58" i="5" s="1"/>
  <c r="M15" i="5"/>
  <c r="M25" i="5" s="1"/>
  <c r="M108" i="3" s="1"/>
  <c r="N50" i="5"/>
  <c r="N52" i="5" s="1"/>
  <c r="N118" i="3" s="1"/>
  <c r="N56" i="5"/>
  <c r="N58" i="5" s="1"/>
  <c r="O22" i="5"/>
  <c r="P22" i="5" s="1"/>
  <c r="Q22" i="5" s="1"/>
  <c r="R22" i="5" s="1"/>
  <c r="S22" i="5" s="1"/>
  <c r="K15" i="5"/>
  <c r="K25" i="5" s="1"/>
  <c r="K108" i="3" s="1"/>
  <c r="K18" i="5"/>
  <c r="K29" i="5" s="1"/>
  <c r="K111" i="3" s="1"/>
  <c r="N19" i="5"/>
  <c r="N18" i="5" s="1"/>
  <c r="N29" i="5" s="1"/>
  <c r="N111" i="3" s="1"/>
  <c r="M19" i="5"/>
  <c r="M18" i="5" s="1"/>
  <c r="M29" i="5" s="1"/>
  <c r="M111" i="3" s="1"/>
  <c r="L16" i="5"/>
  <c r="L15" i="5" s="1"/>
  <c r="L25" i="5" s="1"/>
  <c r="L108" i="3" s="1"/>
  <c r="O6" i="5"/>
  <c r="L19" i="5"/>
  <c r="L18" i="5" s="1"/>
  <c r="L29" i="5" s="1"/>
  <c r="L111" i="3" s="1"/>
  <c r="O9" i="5"/>
  <c r="J19" i="5"/>
  <c r="J16" i="5"/>
  <c r="M2" i="5"/>
  <c r="N2" i="5" s="1"/>
  <c r="O2" i="5" s="1"/>
  <c r="P2" i="5" s="1"/>
  <c r="Q2" i="5" s="1"/>
  <c r="R2" i="5" s="1"/>
  <c r="S2" i="5" s="1"/>
  <c r="I46" i="3"/>
  <c r="O99" i="3"/>
  <c r="P99" i="3" s="1"/>
  <c r="Q99" i="3" s="1"/>
  <c r="R99" i="3" s="1"/>
  <c r="S99" i="3" s="1"/>
  <c r="T99" i="3" s="1"/>
  <c r="R29" i="3"/>
  <c r="S29" i="3" s="1"/>
  <c r="T29" i="3" s="1"/>
  <c r="L63" i="1"/>
  <c r="L65" i="1" s="1"/>
  <c r="N103" i="3"/>
  <c r="M101" i="3"/>
  <c r="M103" i="3" s="1"/>
  <c r="K63" i="1"/>
  <c r="K65" i="1" s="1"/>
  <c r="F5" i="1"/>
  <c r="J63" i="1"/>
  <c r="J65" i="1" s="1"/>
  <c r="L101" i="3"/>
  <c r="L103" i="3" s="1"/>
  <c r="I58" i="3"/>
  <c r="G58" i="3"/>
  <c r="H58" i="3"/>
  <c r="G60" i="3"/>
  <c r="F60" i="3" s="1"/>
  <c r="E60" i="3" s="1"/>
  <c r="G31" i="3"/>
  <c r="J58" i="3"/>
  <c r="N58" i="3"/>
  <c r="M58" i="3"/>
  <c r="L58" i="3"/>
  <c r="K58" i="3"/>
  <c r="M31" i="3"/>
  <c r="H96" i="3" l="1"/>
  <c r="H97" i="3" s="1"/>
  <c r="G96" i="3"/>
  <c r="G97" i="3" s="1"/>
  <c r="E96" i="3"/>
  <c r="E97" i="3" s="1"/>
  <c r="O132" i="3"/>
  <c r="P132" i="3" s="1"/>
  <c r="Q132" i="3" s="1"/>
  <c r="R132" i="3" s="1"/>
  <c r="S132" i="3" s="1"/>
  <c r="T132" i="3" s="1"/>
  <c r="I96" i="3"/>
  <c r="I97" i="3" s="1"/>
  <c r="N88" i="3"/>
  <c r="N91" i="3"/>
  <c r="N85" i="3"/>
  <c r="N81" i="3"/>
  <c r="M85" i="3"/>
  <c r="M88" i="3"/>
  <c r="M81" i="3"/>
  <c r="M91" i="3"/>
  <c r="L81" i="3"/>
  <c r="L88" i="3"/>
  <c r="L85" i="3"/>
  <c r="L91" i="3"/>
  <c r="K91" i="3"/>
  <c r="K81" i="3"/>
  <c r="K88" i="3"/>
  <c r="K85" i="3"/>
  <c r="J91" i="3"/>
  <c r="J88" i="3"/>
  <c r="J81" i="3"/>
  <c r="J85" i="3"/>
  <c r="I81" i="3"/>
  <c r="I88" i="3"/>
  <c r="I91" i="3"/>
  <c r="I85" i="3"/>
  <c r="H91" i="3"/>
  <c r="H88" i="3"/>
  <c r="H81" i="3"/>
  <c r="H85" i="3"/>
  <c r="G81" i="3"/>
  <c r="G91" i="3"/>
  <c r="G85" i="3"/>
  <c r="G88" i="3"/>
  <c r="F81" i="3"/>
  <c r="F88" i="3"/>
  <c r="F85" i="3"/>
  <c r="F91" i="3"/>
  <c r="E88" i="3"/>
  <c r="E85" i="3"/>
  <c r="E81" i="3"/>
  <c r="I58" i="4"/>
  <c r="I124" i="3"/>
  <c r="I125" i="3" s="1"/>
  <c r="R163" i="3"/>
  <c r="E115" i="3"/>
  <c r="G115" i="3"/>
  <c r="Q128" i="3"/>
  <c r="R129" i="3"/>
  <c r="H125" i="3"/>
  <c r="G125" i="3"/>
  <c r="I115" i="3"/>
  <c r="H115" i="3"/>
  <c r="K114" i="3"/>
  <c r="K95" i="3" s="1"/>
  <c r="K96" i="3" s="1"/>
  <c r="K97" i="3" s="1"/>
  <c r="E125" i="3"/>
  <c r="F53" i="5"/>
  <c r="F119" i="3" s="1"/>
  <c r="F118" i="3"/>
  <c r="F59" i="5"/>
  <c r="F122" i="3" s="1"/>
  <c r="F121" i="3"/>
  <c r="L114" i="3"/>
  <c r="L95" i="3" s="1"/>
  <c r="L96" i="3" s="1"/>
  <c r="L97" i="3" s="1"/>
  <c r="Q52" i="3"/>
  <c r="Q51" i="3" s="1"/>
  <c r="Q87" i="3" s="1"/>
  <c r="R54" i="3"/>
  <c r="L125" i="3"/>
  <c r="J59" i="5"/>
  <c r="J122" i="3" s="1"/>
  <c r="J121" i="3"/>
  <c r="J53" i="5"/>
  <c r="J119" i="3" s="1"/>
  <c r="J118" i="3"/>
  <c r="M59" i="5"/>
  <c r="M121" i="3"/>
  <c r="M124" i="3" s="1"/>
  <c r="K59" i="5"/>
  <c r="K122" i="3" s="1"/>
  <c r="K121" i="3"/>
  <c r="K124" i="3" s="1"/>
  <c r="N59" i="5"/>
  <c r="N122" i="3" s="1"/>
  <c r="N121" i="3"/>
  <c r="N124" i="3" s="1"/>
  <c r="N114" i="3"/>
  <c r="N95" i="3" s="1"/>
  <c r="N96" i="3" s="1"/>
  <c r="N97" i="3" s="1"/>
  <c r="M114" i="3"/>
  <c r="M95" i="3" s="1"/>
  <c r="M96" i="3" s="1"/>
  <c r="M97" i="3" s="1"/>
  <c r="P72" i="3"/>
  <c r="Q72" i="3" s="1"/>
  <c r="R72" i="3" s="1"/>
  <c r="S72" i="3" s="1"/>
  <c r="N26" i="5"/>
  <c r="N27" i="5"/>
  <c r="N109" i="3" s="1"/>
  <c r="M27" i="5"/>
  <c r="M109" i="3" s="1"/>
  <c r="M26" i="5"/>
  <c r="R64" i="5"/>
  <c r="M53" i="5"/>
  <c r="M119" i="3" s="1"/>
  <c r="K53" i="5"/>
  <c r="K119" i="3" s="1"/>
  <c r="N53" i="5"/>
  <c r="N119" i="3" s="1"/>
  <c r="K26" i="5"/>
  <c r="K27" i="5"/>
  <c r="K109" i="3" s="1"/>
  <c r="L26" i="5"/>
  <c r="L27" i="5"/>
  <c r="L109" i="3" s="1"/>
  <c r="L31" i="5"/>
  <c r="L112" i="3" s="1"/>
  <c r="L30" i="5"/>
  <c r="K31" i="5"/>
  <c r="K112" i="3" s="1"/>
  <c r="K30" i="5"/>
  <c r="N31" i="5"/>
  <c r="N112" i="3" s="1"/>
  <c r="N30" i="5"/>
  <c r="M31" i="5"/>
  <c r="M112" i="3" s="1"/>
  <c r="M30" i="5"/>
  <c r="P6" i="5"/>
  <c r="P9" i="5"/>
  <c r="Q9" i="5" s="1"/>
  <c r="O19" i="5"/>
  <c r="P19" i="5" s="1"/>
  <c r="Q19" i="5" s="1"/>
  <c r="R19" i="5" s="1"/>
  <c r="S19" i="5" s="1"/>
  <c r="J18" i="5"/>
  <c r="J29" i="5" s="1"/>
  <c r="J111" i="3" s="1"/>
  <c r="J15" i="5"/>
  <c r="J25" i="5" s="1"/>
  <c r="J108" i="3" s="1"/>
  <c r="O16" i="5"/>
  <c r="P16" i="5" s="1"/>
  <c r="Q16" i="5" s="1"/>
  <c r="R16" i="5" s="1"/>
  <c r="S16" i="5" s="1"/>
  <c r="F31" i="3"/>
  <c r="N31" i="3"/>
  <c r="M46" i="3"/>
  <c r="O65" i="3"/>
  <c r="O63" i="3" s="1"/>
  <c r="P42" i="3"/>
  <c r="O41" i="3"/>
  <c r="O43" i="3"/>
  <c r="O40" i="3"/>
  <c r="O39" i="3" s="1"/>
  <c r="G5" i="1"/>
  <c r="H5" i="1"/>
  <c r="I5" i="1" s="1"/>
  <c r="J5" i="1" s="1"/>
  <c r="O70" i="3"/>
  <c r="P70" i="3" s="1"/>
  <c r="Q70" i="3" s="1"/>
  <c r="R70" i="3" s="1"/>
  <c r="S70" i="3" s="1"/>
  <c r="O71" i="3"/>
  <c r="E91" i="3"/>
  <c r="O37" i="3"/>
  <c r="O35" i="3"/>
  <c r="O34" i="3"/>
  <c r="O33" i="3" s="1"/>
  <c r="P36" i="3"/>
  <c r="L60" i="4" l="1"/>
  <c r="E27" i="3"/>
  <c r="S163" i="3"/>
  <c r="L115" i="3"/>
  <c r="R128" i="3"/>
  <c r="S129" i="3"/>
  <c r="F124" i="3"/>
  <c r="F125" i="3" s="1"/>
  <c r="K115" i="3"/>
  <c r="R52" i="3"/>
  <c r="R51" i="3" s="1"/>
  <c r="R87" i="3" s="1"/>
  <c r="S54" i="3"/>
  <c r="M122" i="3"/>
  <c r="O59" i="5"/>
  <c r="O122" i="3" s="1"/>
  <c r="N115" i="3"/>
  <c r="M115" i="3"/>
  <c r="M125" i="3"/>
  <c r="K125" i="3"/>
  <c r="N125" i="3"/>
  <c r="J124" i="3"/>
  <c r="J114" i="3"/>
  <c r="J95" i="3" s="1"/>
  <c r="J96" i="3" s="1"/>
  <c r="J97" i="3" s="1"/>
  <c r="O27" i="5"/>
  <c r="O53" i="5"/>
  <c r="O119" i="3" s="1"/>
  <c r="S64" i="5"/>
  <c r="T64" i="5" s="1"/>
  <c r="O45" i="3"/>
  <c r="O63" i="5" s="1"/>
  <c r="Q6" i="5"/>
  <c r="R9" i="5"/>
  <c r="O31" i="5"/>
  <c r="O112" i="3" s="1"/>
  <c r="J30" i="5"/>
  <c r="J31" i="5"/>
  <c r="J112" i="3" s="1"/>
  <c r="J26" i="5"/>
  <c r="J27" i="5"/>
  <c r="J109" i="3" s="1"/>
  <c r="E31" i="3"/>
  <c r="H46" i="3"/>
  <c r="G46" i="3"/>
  <c r="N46" i="3"/>
  <c r="O31" i="3"/>
  <c r="O57" i="3"/>
  <c r="O69" i="3"/>
  <c r="O68" i="3" s="1"/>
  <c r="O83" i="3" s="1"/>
  <c r="O84" i="3" s="1"/>
  <c r="P71" i="3"/>
  <c r="P41" i="3"/>
  <c r="P40" i="3"/>
  <c r="P39" i="3" s="1"/>
  <c r="Q42" i="3"/>
  <c r="P43" i="3"/>
  <c r="K5" i="1"/>
  <c r="T146" i="3"/>
  <c r="S146" i="3"/>
  <c r="R146" i="3"/>
  <c r="Q146" i="3"/>
  <c r="P146" i="3"/>
  <c r="O146" i="3"/>
  <c r="O62" i="3"/>
  <c r="O79" i="3" s="1"/>
  <c r="O80" i="3" s="1"/>
  <c r="P34" i="3"/>
  <c r="P33" i="3" s="1"/>
  <c r="P37" i="3"/>
  <c r="P35" i="3"/>
  <c r="Q36" i="3"/>
  <c r="T163" i="3" l="1"/>
  <c r="O90" i="3"/>
  <c r="O94" i="3" s="1"/>
  <c r="S128" i="3"/>
  <c r="T129" i="3"/>
  <c r="T128" i="3" s="1"/>
  <c r="P27" i="5"/>
  <c r="O109" i="3"/>
  <c r="S52" i="3"/>
  <c r="S51" i="3" s="1"/>
  <c r="S87" i="3" s="1"/>
  <c r="T54" i="3"/>
  <c r="T52" i="3" s="1"/>
  <c r="T51" i="3" s="1"/>
  <c r="T87" i="3" s="1"/>
  <c r="P59" i="5"/>
  <c r="P58" i="5" s="1"/>
  <c r="P121" i="3" s="1"/>
  <c r="O58" i="5"/>
  <c r="O121" i="3" s="1"/>
  <c r="J125" i="3"/>
  <c r="J115" i="3"/>
  <c r="P45" i="3"/>
  <c r="P63" i="5" s="1"/>
  <c r="O52" i="5"/>
  <c r="O118" i="3" s="1"/>
  <c r="P53" i="5"/>
  <c r="P119" i="3" s="1"/>
  <c r="R6" i="5"/>
  <c r="S9" i="5"/>
  <c r="O29" i="5"/>
  <c r="O111" i="3" s="1"/>
  <c r="P31" i="5"/>
  <c r="P112" i="3" s="1"/>
  <c r="O25" i="5"/>
  <c r="O108" i="3" s="1"/>
  <c r="O46" i="3"/>
  <c r="P31" i="3"/>
  <c r="F46" i="3"/>
  <c r="P57" i="3"/>
  <c r="O139" i="3"/>
  <c r="Q71" i="3"/>
  <c r="P69" i="3"/>
  <c r="P68" i="3" s="1"/>
  <c r="P83" i="3" s="1"/>
  <c r="P84" i="3" s="1"/>
  <c r="O74" i="3"/>
  <c r="L5" i="1"/>
  <c r="Q40" i="3"/>
  <c r="Q39" i="3" s="1"/>
  <c r="Q43" i="3"/>
  <c r="Q41" i="3"/>
  <c r="R42" i="3"/>
  <c r="O58" i="3"/>
  <c r="O140" i="3" s="1"/>
  <c r="P62" i="3"/>
  <c r="P79" i="3" s="1"/>
  <c r="P80" i="3" s="1"/>
  <c r="Q34" i="3"/>
  <c r="Q35" i="3"/>
  <c r="Q37" i="3"/>
  <c r="R36" i="3"/>
  <c r="O91" i="3" l="1"/>
  <c r="O88" i="3"/>
  <c r="O85" i="3"/>
  <c r="O81" i="3"/>
  <c r="P90" i="3"/>
  <c r="P94" i="3" s="1"/>
  <c r="O114" i="3"/>
  <c r="O95" i="3" s="1"/>
  <c r="O96" i="3" s="1"/>
  <c r="O97" i="3" s="1"/>
  <c r="P109" i="3"/>
  <c r="Q27" i="5"/>
  <c r="Q59" i="5"/>
  <c r="Q58" i="5" s="1"/>
  <c r="Q121" i="3" s="1"/>
  <c r="P122" i="3"/>
  <c r="O124" i="3"/>
  <c r="P139" i="3"/>
  <c r="O75" i="3"/>
  <c r="P52" i="5"/>
  <c r="P118" i="3" s="1"/>
  <c r="P124" i="3" s="1"/>
  <c r="Q53" i="5"/>
  <c r="Q119" i="3" s="1"/>
  <c r="O33" i="5"/>
  <c r="O30" i="5" s="1"/>
  <c r="S6" i="5"/>
  <c r="P29" i="5"/>
  <c r="P111" i="3" s="1"/>
  <c r="Q31" i="5"/>
  <c r="P25" i="5"/>
  <c r="P108" i="3" s="1"/>
  <c r="P74" i="3"/>
  <c r="Q69" i="3"/>
  <c r="Q68" i="3" s="1"/>
  <c r="Q83" i="3" s="1"/>
  <c r="Q84" i="3" s="1"/>
  <c r="R71" i="3"/>
  <c r="P46" i="3"/>
  <c r="Q31" i="3"/>
  <c r="R40" i="3"/>
  <c r="R39" i="3" s="1"/>
  <c r="S42" i="3"/>
  <c r="R43" i="3"/>
  <c r="R41" i="3"/>
  <c r="P58" i="3"/>
  <c r="P140" i="3" s="1"/>
  <c r="R34" i="3"/>
  <c r="R35" i="3"/>
  <c r="R37" i="3"/>
  <c r="S36" i="3"/>
  <c r="Q33" i="3"/>
  <c r="P91" i="3" l="1"/>
  <c r="P88" i="3"/>
  <c r="P85" i="3"/>
  <c r="P81" i="3"/>
  <c r="O150" i="3"/>
  <c r="O115" i="3"/>
  <c r="O151" i="3" s="1"/>
  <c r="O125" i="3"/>
  <c r="O154" i="3" s="1"/>
  <c r="O153" i="3"/>
  <c r="P125" i="3"/>
  <c r="P154" i="3" s="1"/>
  <c r="P153" i="3"/>
  <c r="Q109" i="3"/>
  <c r="R27" i="5"/>
  <c r="Q122" i="3"/>
  <c r="R59" i="5"/>
  <c r="Q112" i="3"/>
  <c r="P114" i="3"/>
  <c r="P95" i="3" s="1"/>
  <c r="P96" i="3" s="1"/>
  <c r="P97" i="3" s="1"/>
  <c r="O11" i="5"/>
  <c r="O21" i="5"/>
  <c r="O26" i="5"/>
  <c r="P75" i="3"/>
  <c r="O143" i="3"/>
  <c r="O142" i="3"/>
  <c r="O145" i="3" s="1"/>
  <c r="Q52" i="5"/>
  <c r="Q118" i="3" s="1"/>
  <c r="Q124" i="3" s="1"/>
  <c r="R53" i="5"/>
  <c r="R119" i="3" s="1"/>
  <c r="Q29" i="5"/>
  <c r="Q111" i="3" s="1"/>
  <c r="R31" i="5"/>
  <c r="P33" i="5"/>
  <c r="Q25" i="5"/>
  <c r="Q108" i="3" s="1"/>
  <c r="R69" i="3"/>
  <c r="R68" i="3" s="1"/>
  <c r="R83" i="3" s="1"/>
  <c r="R84" i="3" s="1"/>
  <c r="S71" i="3"/>
  <c r="S69" i="3" s="1"/>
  <c r="Q57" i="3"/>
  <c r="Q45" i="3"/>
  <c r="R31" i="3"/>
  <c r="S40" i="3"/>
  <c r="S41" i="3"/>
  <c r="S43" i="3"/>
  <c r="S35" i="3"/>
  <c r="S37" i="3"/>
  <c r="S34" i="3"/>
  <c r="R33" i="3"/>
  <c r="Q62" i="3"/>
  <c r="Q79" i="3" s="1"/>
  <c r="Q80" i="3" s="1"/>
  <c r="Q74" i="3" l="1"/>
  <c r="Q75" i="3" s="1"/>
  <c r="R122" i="3"/>
  <c r="S59" i="5"/>
  <c r="R58" i="5"/>
  <c r="R121" i="3" s="1"/>
  <c r="P115" i="3"/>
  <c r="P151" i="3" s="1"/>
  <c r="P150" i="3"/>
  <c r="Q125" i="3"/>
  <c r="Q154" i="3" s="1"/>
  <c r="Q153" i="3"/>
  <c r="R109" i="3"/>
  <c r="S27" i="5"/>
  <c r="R112" i="3"/>
  <c r="Q114" i="3"/>
  <c r="Q95" i="3" s="1"/>
  <c r="Q139" i="3"/>
  <c r="O8" i="5"/>
  <c r="O5" i="5"/>
  <c r="O18" i="5"/>
  <c r="O15" i="5"/>
  <c r="P143" i="3"/>
  <c r="P142" i="3"/>
  <c r="P145" i="3" s="1"/>
  <c r="Q46" i="3"/>
  <c r="Q63" i="5"/>
  <c r="R29" i="5"/>
  <c r="R111" i="3" s="1"/>
  <c r="S31" i="5"/>
  <c r="R52" i="5"/>
  <c r="R118" i="3" s="1"/>
  <c r="S53" i="5"/>
  <c r="Q33" i="5"/>
  <c r="P26" i="5"/>
  <c r="P30" i="5"/>
  <c r="P11" i="5"/>
  <c r="P21" i="5"/>
  <c r="R25" i="5"/>
  <c r="R108" i="3" s="1"/>
  <c r="R57" i="3"/>
  <c r="R45" i="3"/>
  <c r="R63" i="5" s="1"/>
  <c r="S31" i="3"/>
  <c r="S39" i="3"/>
  <c r="O148" i="3"/>
  <c r="S33" i="3"/>
  <c r="R62" i="3"/>
  <c r="R79" i="3" s="1"/>
  <c r="R80" i="3" s="1"/>
  <c r="Q58" i="3"/>
  <c r="Q140" i="3" s="1"/>
  <c r="Q90" i="3" l="1"/>
  <c r="Q94" i="3" s="1"/>
  <c r="Q96" i="3" s="1"/>
  <c r="Q97" i="3" s="1"/>
  <c r="R74" i="3"/>
  <c r="R75" i="3" s="1"/>
  <c r="S25" i="5"/>
  <c r="S108" i="3" s="1"/>
  <c r="T59" i="5"/>
  <c r="T122" i="3" s="1"/>
  <c r="S122" i="3"/>
  <c r="R124" i="3"/>
  <c r="S58" i="5"/>
  <c r="S121" i="3" s="1"/>
  <c r="S109" i="3"/>
  <c r="T27" i="5"/>
  <c r="T109" i="3" s="1"/>
  <c r="Q115" i="3"/>
  <c r="Q151" i="3" s="1"/>
  <c r="Q150" i="3"/>
  <c r="T31" i="5"/>
  <c r="S112" i="3"/>
  <c r="S119" i="3"/>
  <c r="T53" i="5"/>
  <c r="R114" i="3"/>
  <c r="R95" i="3" s="1"/>
  <c r="R139" i="3"/>
  <c r="S52" i="5"/>
  <c r="S118" i="3" s="1"/>
  <c r="R33" i="5"/>
  <c r="S29" i="5"/>
  <c r="S111" i="3" s="1"/>
  <c r="Q11" i="5"/>
  <c r="Q21" i="5"/>
  <c r="Q26" i="5"/>
  <c r="Q30" i="5"/>
  <c r="P8" i="5"/>
  <c r="P5" i="5"/>
  <c r="P15" i="5"/>
  <c r="P18" i="5"/>
  <c r="S45" i="3"/>
  <c r="R46" i="3"/>
  <c r="T31" i="3"/>
  <c r="S57" i="3"/>
  <c r="T39" i="3"/>
  <c r="S68" i="3"/>
  <c r="S83" i="3" s="1"/>
  <c r="S84" i="3" s="1"/>
  <c r="P148" i="3"/>
  <c r="S62" i="3"/>
  <c r="S79" i="3" s="1"/>
  <c r="S80" i="3" s="1"/>
  <c r="T33" i="3"/>
  <c r="R58" i="3"/>
  <c r="R140" i="3" s="1"/>
  <c r="Q88" i="3" l="1"/>
  <c r="Q81" i="3"/>
  <c r="Q85" i="3"/>
  <c r="Q91" i="3"/>
  <c r="Q143" i="3" s="1"/>
  <c r="Q142" i="3"/>
  <c r="Q145" i="3" s="1"/>
  <c r="R90" i="3"/>
  <c r="R94" i="3" s="1"/>
  <c r="R96" i="3" s="1"/>
  <c r="R97" i="3" s="1"/>
  <c r="S90" i="3"/>
  <c r="S94" i="3" s="1"/>
  <c r="S114" i="3"/>
  <c r="S95" i="3" s="1"/>
  <c r="R153" i="3"/>
  <c r="R125" i="3"/>
  <c r="R154" i="3" s="1"/>
  <c r="S124" i="3"/>
  <c r="T58" i="5"/>
  <c r="T121" i="3" s="1"/>
  <c r="T25" i="5"/>
  <c r="T108" i="3" s="1"/>
  <c r="R115" i="3"/>
  <c r="R151" i="3" s="1"/>
  <c r="R150" i="3"/>
  <c r="T112" i="3"/>
  <c r="T29" i="5"/>
  <c r="T119" i="3"/>
  <c r="T52" i="5"/>
  <c r="T118" i="3" s="1"/>
  <c r="S139" i="3"/>
  <c r="T45" i="3"/>
  <c r="R11" i="5"/>
  <c r="R21" i="5"/>
  <c r="R26" i="5"/>
  <c r="R30" i="5"/>
  <c r="S33" i="5"/>
  <c r="S46" i="3"/>
  <c r="S63" i="5"/>
  <c r="Q5" i="5"/>
  <c r="Q8" i="5"/>
  <c r="Q15" i="5"/>
  <c r="Q18" i="5"/>
  <c r="T68" i="3"/>
  <c r="T83" i="3" s="1"/>
  <c r="T84" i="3" s="1"/>
  <c r="T57" i="3"/>
  <c r="S74" i="3"/>
  <c r="S58" i="3"/>
  <c r="S140" i="3" s="1"/>
  <c r="T62" i="3"/>
  <c r="T79" i="3" s="1"/>
  <c r="T80" i="3" s="1"/>
  <c r="S96" i="3" l="1"/>
  <c r="S97" i="3" s="1"/>
  <c r="S115" i="3"/>
  <c r="S151" i="3" s="1"/>
  <c r="S150" i="3"/>
  <c r="R88" i="3"/>
  <c r="R85" i="3"/>
  <c r="R81" i="3"/>
  <c r="S91" i="3"/>
  <c r="S88" i="3"/>
  <c r="S85" i="3"/>
  <c r="S81" i="3"/>
  <c r="R91" i="3"/>
  <c r="R143" i="3" s="1"/>
  <c r="R142" i="3"/>
  <c r="R145" i="3" s="1"/>
  <c r="T90" i="3"/>
  <c r="T94" i="3" s="1"/>
  <c r="S153" i="3"/>
  <c r="S125" i="3"/>
  <c r="S154" i="3" s="1"/>
  <c r="T124" i="3"/>
  <c r="T111" i="3"/>
  <c r="T114" i="3" s="1"/>
  <c r="T95" i="3" s="1"/>
  <c r="T33" i="5"/>
  <c r="T46" i="3"/>
  <c r="T63" i="5"/>
  <c r="S11" i="5"/>
  <c r="S30" i="5"/>
  <c r="S26" i="5"/>
  <c r="S21" i="5"/>
  <c r="R8" i="5"/>
  <c r="R5" i="5"/>
  <c r="R15" i="5"/>
  <c r="R18" i="5"/>
  <c r="S142" i="3"/>
  <c r="S75" i="3"/>
  <c r="T74" i="3"/>
  <c r="T139" i="3"/>
  <c r="Q148" i="3"/>
  <c r="T58" i="3"/>
  <c r="T140" i="3" s="1"/>
  <c r="T96" i="3" l="1"/>
  <c r="T91" i="3"/>
  <c r="T88" i="3"/>
  <c r="T85" i="3"/>
  <c r="T81" i="3"/>
  <c r="T153" i="3"/>
  <c r="T125" i="3"/>
  <c r="T154" i="3" s="1"/>
  <c r="T115" i="3"/>
  <c r="T151" i="3" s="1"/>
  <c r="T150" i="3"/>
  <c r="T26" i="5"/>
  <c r="T21" i="5"/>
  <c r="T11" i="5"/>
  <c r="T30" i="5"/>
  <c r="S8" i="5"/>
  <c r="S5" i="5"/>
  <c r="S18" i="5"/>
  <c r="S15" i="5"/>
  <c r="T75" i="3"/>
  <c r="S143" i="3"/>
  <c r="S145" i="3"/>
  <c r="R148" i="3"/>
  <c r="T180" i="3" l="1"/>
  <c r="T182" i="3" s="1"/>
  <c r="T183" i="3" s="1"/>
  <c r="T97" i="3"/>
  <c r="T18" i="5"/>
  <c r="T15" i="5"/>
  <c r="T5" i="5"/>
  <c r="T8" i="5"/>
  <c r="T143" i="3"/>
  <c r="T142" i="3"/>
  <c r="T145" i="3" s="1"/>
  <c r="S148" i="3"/>
  <c r="T148" i="3" l="1"/>
  <c r="O131" i="3" l="1"/>
  <c r="O134" i="3" s="1"/>
  <c r="P131" i="3"/>
  <c r="P134" i="3" s="1"/>
  <c r="Q131" i="3"/>
  <c r="Q134" i="3" s="1"/>
  <c r="O135" i="3" l="1"/>
  <c r="O157" i="3" s="1"/>
  <c r="O156" i="3"/>
  <c r="O159" i="3" s="1"/>
  <c r="O160" i="3" s="1"/>
  <c r="P135" i="3"/>
  <c r="P157" i="3" s="1"/>
  <c r="P156" i="3"/>
  <c r="P159" i="3" s="1"/>
  <c r="P160" i="3" s="1"/>
  <c r="Q135" i="3"/>
  <c r="Q157" i="3" s="1"/>
  <c r="Q156" i="3"/>
  <c r="Q159" i="3" s="1"/>
  <c r="Q160" i="3" s="1"/>
  <c r="R131" i="3"/>
  <c r="R134" i="3" s="1"/>
  <c r="R135" i="3" l="1"/>
  <c r="R157" i="3" s="1"/>
  <c r="R156" i="3"/>
  <c r="R159" i="3" s="1"/>
  <c r="R160" i="3" s="1"/>
  <c r="S131" i="3"/>
  <c r="S134" i="3" s="1"/>
  <c r="T131" i="3"/>
  <c r="T134" i="3" s="1"/>
  <c r="S135" i="3" l="1"/>
  <c r="S157" i="3" s="1"/>
  <c r="S156" i="3"/>
  <c r="S159" i="3" s="1"/>
  <c r="S160" i="3" s="1"/>
  <c r="T135" i="3"/>
  <c r="T157" i="3" s="1"/>
  <c r="T156" i="3"/>
  <c r="T159" i="3" s="1"/>
  <c r="N181" i="3" l="1"/>
  <c r="H187" i="3"/>
  <c r="H188" i="3" s="1"/>
  <c r="T188" i="3"/>
  <c r="T160" i="3"/>
  <c r="N182" i="3" l="1"/>
  <c r="N184" i="3" s="1"/>
  <c r="H183" i="3"/>
  <c r="T165" i="3" s="1"/>
  <c r="T184" i="3"/>
  <c r="T187" i="3" s="1"/>
  <c r="H184" i="3" l="1"/>
  <c r="T166" i="3" s="1"/>
  <c r="N187" i="3"/>
  <c r="N188" i="3"/>
  <c r="T168" i="3" l="1"/>
  <c r="T172" i="3" s="1"/>
  <c r="T175" i="3" s="1"/>
  <c r="W180" i="3" l="1"/>
  <c r="I6" i="3"/>
  <c r="I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raghav rawat</author>
  </authors>
  <commentList>
    <comment ref="Q20" authorId="0" shapeId="0" xr:uid="{AA6C7EB4-B502-CA49-82BF-E7F89D5D4CBB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Cost &amp; OpEx margin taken as an average of last 10 years excluding 2 anomaly years; 2019 and 2021.
</t>
        </r>
      </text>
    </comment>
    <comment ref="Q22" authorId="0" shapeId="0" xr:uid="{9E945F58-35E8-7E49-8513-59B1CD3D9C27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Projected margin taken as an average of last 4 years instead of last 10 years due to upward moving trend in cost margin; projected flat at 79.5% from 2031 onwards.</t>
        </r>
      </text>
    </comment>
    <comment ref="O36" authorId="0" shapeId="0" xr:uid="{DDBD9ABD-51FB-A14F-8CBA-675FDE1F3D4A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Expected growth rate taken as an average of last 10 years; excluding anomaly year 2023</t>
        </r>
      </text>
    </comment>
    <comment ref="O42" authorId="0" shapeId="0" xr:uid="{9253C048-33E5-FF47-8029-237BF72EDBC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Expected growth rate taken as average of last 10 years</t>
        </r>
      </text>
    </comment>
    <comment ref="O129" authorId="0" shapeId="0" xr:uid="{0F33A694-1B84-9347-BA1B-B284F6D82D7D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Projected rate taken an average of last 3 years due to a donward moving trend.</t>
        </r>
      </text>
    </comment>
    <comment ref="T181" authorId="0" shapeId="0" xr:uid="{08B86BBB-4406-AA48-B436-938A9C667E4E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EBITDA Multiple calculated using book EV/EBITDA from FYE 2025.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raghav rawat</author>
  </authors>
  <commentList>
    <comment ref="I31" authorId="0" shapeId="0" xr:uid="{21857A20-73CE-6040-96F9-1AC61D06171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2025 10k pg 67</t>
        </r>
      </text>
    </comment>
    <comment ref="I44" authorId="0" shapeId="0" xr:uid="{6A043CBC-E726-6242-BD0A-90F35D392A9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Damodaran's ERP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https://pages.stern.nyu.edu/~adamodar/New_Home_Page/datafile/ctryprem.html</t>
        </r>
      </text>
    </comment>
    <comment ref="I45" authorId="0" shapeId="0" xr:uid="{CF94EB6C-99A3-A447-A47C-486E508291E8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Levered Beta= Weighted avg median unlevered beta*(1+(1-tax rate)*D/E)</t>
        </r>
      </text>
    </comment>
    <comment ref="I46" authorId="0" shapeId="0" xr:uid="{071D4A97-051C-0947-9358-FBFEC807E4DF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https://www.cnbc.com/quotes/US10Y</t>
        </r>
      </text>
    </comment>
    <comment ref="I49" authorId="0" shapeId="0" xr:uid="{E9B693B6-794B-564E-9D10-7C60F6E46763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Pre-tax cost of debt = Interest expense/total debt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raghav rawat</author>
  </authors>
  <commentList>
    <comment ref="J5" authorId="0" shapeId="0" xr:uid="{E43ECDC2-9EFF-8846-97F2-A50D88234D3C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2022 10k pg 89
</t>
        </r>
      </text>
    </comment>
    <comment ref="M5" authorId="0" shapeId="0" xr:uid="{92B4067B-F0DC-DC40-99BC-9503EABBA020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2024 10k pg 86</t>
        </r>
      </text>
    </comment>
    <comment ref="N5" authorId="0" shapeId="0" xr:uid="{174CABEE-B4C6-AF4D-9176-74E3FFDD2AAC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2025 10k pg 85</t>
        </r>
      </text>
    </comment>
    <comment ref="O6" authorId="0" shapeId="0" xr:uid="{E2385DC1-3779-C44F-9FD0-B113F81DE79B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Projected D&amp;A taken as average of last 3 years due to an upward moving trend</t>
        </r>
      </text>
    </comment>
    <comment ref="O31" authorId="0" shapeId="0" xr:uid="{583B9A77-EF06-4D41-B69A-DF4A67B5D5B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Projected D&amp;A taken as average of last 3 years due to an upward moving trend</t>
        </r>
      </text>
    </comment>
    <comment ref="J43" authorId="0" shapeId="0" xr:uid="{3D82F012-D72D-A94D-B348-9CE06848C81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2020 10k page 89 </t>
        </r>
      </text>
    </comment>
    <comment ref="J45" authorId="0" shapeId="0" xr:uid="{9A7DD7E6-A066-894E-A787-9F03386ABBFC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2022 10k pg 89
</t>
        </r>
      </text>
    </comment>
    <comment ref="M45" authorId="0" shapeId="0" xr:uid="{3783C896-3A39-CF4F-A909-A1FFB2FDCD51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2024 10k pg 86</t>
        </r>
      </text>
    </comment>
    <comment ref="N45" authorId="0" shapeId="0" xr:uid="{4861324A-6057-8346-B254-71CBE1749264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2025 10k pg 86</t>
        </r>
      </text>
    </comment>
    <comment ref="O59" authorId="0" shapeId="0" xr:uid="{A1DF1DFD-4902-A74B-8EDC-B658E0A686CB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Projected rate taken as an average of last 5 years excluding anomaly year of 2023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raghav rawat</author>
  </authors>
  <commentList>
    <comment ref="B16" authorId="0" shapeId="0" xr:uid="{A867C3AD-4641-F646-A218-125884DD62FF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Revenue from total insurance and other, exluding investment gains and interest on investment
</t>
        </r>
      </text>
    </comment>
    <comment ref="B17" authorId="0" shapeId="0" xr:uid="{9294CB79-F2BD-4645-AD4F-25750D7E7B10}">
      <text>
        <r>
          <rPr>
            <b/>
            <sz val="10"/>
            <color rgb="FF000000"/>
            <rFont val="Tahoma"/>
            <family val="2"/>
          </rPr>
          <t>raghav rawat: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non-operating revenue receieved from interest and investment gains/losses</t>
        </r>
      </text>
    </comment>
  </commentList>
</comments>
</file>

<file path=xl/sharedStrings.xml><?xml version="1.0" encoding="utf-8"?>
<sst xmlns="http://schemas.openxmlformats.org/spreadsheetml/2006/main" count="865" uniqueCount="287">
  <si>
    <t>Berkshire Hathaway Inc. Class B (BRK.B)</t>
  </si>
  <si>
    <t>Berkshire Hathaway Inc. Class B</t>
  </si>
  <si>
    <t xml:space="preserve">BRK.B   084670702   2073390   NYSE    Common stock    </t>
  </si>
  <si>
    <t>Total revenues</t>
  </si>
  <si>
    <t>Total insurance and other</t>
  </si>
  <si>
    <t>Insurance premiums earned -</t>
  </si>
  <si>
    <t>Sales and service revenues -</t>
  </si>
  <si>
    <t>Leasing revenues -</t>
  </si>
  <si>
    <t>Interest, dividend and other investment income -</t>
  </si>
  <si>
    <t>Investment gains / losses</t>
  </si>
  <si>
    <t>Investment gains / losses excluding other-than-temporary impairment losses on investments</t>
  </si>
  <si>
    <t>Other-than-temporary impairment losses on investments</t>
  </si>
  <si>
    <t>Total finance and financial products</t>
  </si>
  <si>
    <t>Sales and service revenues</t>
  </si>
  <si>
    <t>Interest, dividend and other investment income</t>
  </si>
  <si>
    <t>Derivative gains / losses</t>
  </si>
  <si>
    <t>Other</t>
  </si>
  <si>
    <t>Railroad, utilities and energy - revenues</t>
  </si>
  <si>
    <t>Freight rail transportation revenues</t>
  </si>
  <si>
    <t>Insurance and other sales and service / energy operating revenues</t>
  </si>
  <si>
    <t>Service revenues and other income</t>
  </si>
  <si>
    <t>Investment and derivative gains / losses</t>
  </si>
  <si>
    <t>Investments gains / losses</t>
  </si>
  <si>
    <t>Derivative contract gains / losses</t>
  </si>
  <si>
    <t>Total costs and expenses</t>
  </si>
  <si>
    <t>Insurance losses and loss adjustment expenses</t>
  </si>
  <si>
    <t>Life, annuity and health insurance benefits</t>
  </si>
  <si>
    <t>Insurance underwriting expenses</t>
  </si>
  <si>
    <t>Cost of sales and services</t>
  </si>
  <si>
    <t>Cost of leasing</t>
  </si>
  <si>
    <t>Selling, general and administrative expenses</t>
  </si>
  <si>
    <t>Goodwill and intangible asset impairments</t>
  </si>
  <si>
    <t>Interest expense and other</t>
  </si>
  <si>
    <t>Total railroad, utilities and energy</t>
  </si>
  <si>
    <t>Cost of sales and operating expenses</t>
  </si>
  <si>
    <t>Freight rail transportation expenses</t>
  </si>
  <si>
    <t>Utilities and energy cost of sales and other expenses</t>
  </si>
  <si>
    <t>Other expenses</t>
  </si>
  <si>
    <t>Interest expense</t>
  </si>
  <si>
    <t>Earnings before income taxes and equity in earnings of Kraft Heinz Company</t>
  </si>
  <si>
    <t>Equity in earnings / loss of MidAmerican Energy Holdings Company</t>
  </si>
  <si>
    <t>Earnings / loss before income taxes</t>
  </si>
  <si>
    <t>Income tax expense / benefit</t>
  </si>
  <si>
    <t>Minority shareholders' interests</t>
  </si>
  <si>
    <t>Earnings from equity method investments</t>
  </si>
  <si>
    <t>Net earnings / loss</t>
  </si>
  <si>
    <t>Earnings attributable to noncontrolling interests</t>
  </si>
  <si>
    <t>Net earnings / loss attributable to Berkshire Hathaway shareholders</t>
  </si>
  <si>
    <t>Per share</t>
  </si>
  <si>
    <t>Class A</t>
  </si>
  <si>
    <t>Net earnings per share attributable to Berkshire Hathaway shareholders</t>
  </si>
  <si>
    <t>Class B</t>
  </si>
  <si>
    <t>Weighted average shares</t>
  </si>
  <si>
    <t>Average equivalent shares outstanding</t>
  </si>
  <si>
    <t>All figures in millions of U.S. Dollar except per share items.</t>
  </si>
  <si>
    <t>-</t>
  </si>
  <si>
    <t>Net cash flows from operating activities</t>
  </si>
  <si>
    <t>Adjustments to reconcile net earnings / loss to operating cash flows</t>
  </si>
  <si>
    <t>Insurance and other</t>
  </si>
  <si>
    <t>finance and financial products</t>
  </si>
  <si>
    <t>Depreciation and amortization</t>
  </si>
  <si>
    <t>Minority interests</t>
  </si>
  <si>
    <t>Other, including asset impairment charges</t>
  </si>
  <si>
    <t>Changes in operating assets and liabilities</t>
  </si>
  <si>
    <t>Losses and loss adjustment expenses</t>
  </si>
  <si>
    <t>Deferred charges reinsurance assumed</t>
  </si>
  <si>
    <t>Unearned premiums</t>
  </si>
  <si>
    <t>Receivables and originated loans</t>
  </si>
  <si>
    <t>Derivative contract assets and liabilities</t>
  </si>
  <si>
    <t>Inventories</t>
  </si>
  <si>
    <t>Other assets</t>
  </si>
  <si>
    <t>Other liabilities</t>
  </si>
  <si>
    <t>Income taxes</t>
  </si>
  <si>
    <t>Net cash flows from investing activities</t>
  </si>
  <si>
    <t>Purchases of equity securities</t>
  </si>
  <si>
    <t>Investments in The Kraft Heinz Company and other investments</t>
  </si>
  <si>
    <t>Sales and redemptions of equity securities</t>
  </si>
  <si>
    <t>Sales of equity securities excluding redemptions of other investments</t>
  </si>
  <si>
    <t>Redemptions of other investments</t>
  </si>
  <si>
    <t>Purchases of fixed maturity securities</t>
  </si>
  <si>
    <t>Sales of fixed maturity securities</t>
  </si>
  <si>
    <t>Redemptions and maturities of fixed maturity securities</t>
  </si>
  <si>
    <t>Acquisitions of businesses, net of cash acquired</t>
  </si>
  <si>
    <t>Purchases of property, plant and equipment</t>
  </si>
  <si>
    <t>Purchases of loans and finance receivables</t>
  </si>
  <si>
    <t>Collections of loans and finance receivables</t>
  </si>
  <si>
    <t>Other excluding purchases of loans and finance receivables and collections of loans and finance receivables</t>
  </si>
  <si>
    <t>Net cash flows from financing activities</t>
  </si>
  <si>
    <t>Proceeds from borrowings</t>
  </si>
  <si>
    <t>Proceeds from borrowings of insurance and other businesses</t>
  </si>
  <si>
    <t>Proceeds from borrowings of finance businesses</t>
  </si>
  <si>
    <t>Repayments of borrowings</t>
  </si>
  <si>
    <t>Repayments of borrowings of insurance and other businesses</t>
  </si>
  <si>
    <t>Repayments of borrowings of finance businesses</t>
  </si>
  <si>
    <t>Proceeds from borrowings of railroad, utilities and energy businesses</t>
  </si>
  <si>
    <t>Repayments of borrowings of railroad, utilities and energy businesses</t>
  </si>
  <si>
    <t>Changes in short term borrowings, net</t>
  </si>
  <si>
    <t>Acquisitions of noncontrolling interests and other</t>
  </si>
  <si>
    <t>Acquisitions of noncontrolling interests and treasury stock</t>
  </si>
  <si>
    <t>Acquisitions of treasury stock</t>
  </si>
  <si>
    <t>Acquisitions of noncontrolling interests</t>
  </si>
  <si>
    <t>Other, principally transactions with noncontrolling interests</t>
  </si>
  <si>
    <t>Effects of foreign currency exchange rate changes</t>
  </si>
  <si>
    <t>Increase / decrease in cash and cash equivalents</t>
  </si>
  <si>
    <t>Cash and cash equivalents and restricted cash at beginning of period</t>
  </si>
  <si>
    <t>Insurance and other excluding finance and financial products</t>
  </si>
  <si>
    <t>Finance and financial products</t>
  </si>
  <si>
    <t>Railroad, utilities and energy</t>
  </si>
  <si>
    <t>Restricted cash, included in other assets at beginning of period</t>
  </si>
  <si>
    <t>Cash and cash equivalents and restricted cash at end of period</t>
  </si>
  <si>
    <t>Cash and cash equivalents at end of period</t>
  </si>
  <si>
    <t>Restricted cash, included in other assets</t>
  </si>
  <si>
    <t>Supplemental disclosure</t>
  </si>
  <si>
    <t>Cash paid during the period for</t>
  </si>
  <si>
    <t>Interest of finance and financial products businesses</t>
  </si>
  <si>
    <t>Interest of utilities and energy businesses</t>
  </si>
  <si>
    <t>Interest of insurance and other businesses</t>
  </si>
  <si>
    <t>Non-cash investing activity</t>
  </si>
  <si>
    <t>Investments received in connection with the Equitas reinsurance transaction</t>
  </si>
  <si>
    <t>Liabilities assumed in connection with acquisitions of businesses</t>
  </si>
  <si>
    <t>All figures in millions of U.S. Dollar.</t>
  </si>
  <si>
    <t>DCF</t>
  </si>
  <si>
    <t>Ticker</t>
  </si>
  <si>
    <t>Date</t>
  </si>
  <si>
    <t>Year End Date</t>
  </si>
  <si>
    <t>BRK - A</t>
  </si>
  <si>
    <t>x</t>
  </si>
  <si>
    <t>Assumptions</t>
  </si>
  <si>
    <t>Switches</t>
  </si>
  <si>
    <t>Conservative</t>
  </si>
  <si>
    <t>Base</t>
  </si>
  <si>
    <t>Optimistic</t>
  </si>
  <si>
    <t>Other Assumptions</t>
  </si>
  <si>
    <t>Revenue Build</t>
  </si>
  <si>
    <t>Insurance &amp; Other</t>
  </si>
  <si>
    <t>% growth</t>
  </si>
  <si>
    <t>Railroads, utilities and energy</t>
  </si>
  <si>
    <t>Revenue</t>
  </si>
  <si>
    <t>Year</t>
  </si>
  <si>
    <t>Metric</t>
  </si>
  <si>
    <t>Cost &amp; OpEx</t>
  </si>
  <si>
    <t>Cost &amp; OpEx Build</t>
  </si>
  <si>
    <t>% margin</t>
  </si>
  <si>
    <t>Total Costs &amp; OpEx</t>
  </si>
  <si>
    <t>EBIT</t>
  </si>
  <si>
    <t>Taxes</t>
  </si>
  <si>
    <t>Earnings Before Taxes</t>
  </si>
  <si>
    <t>% tax rate</t>
  </si>
  <si>
    <t>Cash Flow Items</t>
  </si>
  <si>
    <t>D&amp;A</t>
  </si>
  <si>
    <t>CapEx</t>
  </si>
  <si>
    <t>Change in Net Working Capital</t>
  </si>
  <si>
    <t>1. Conservative</t>
  </si>
  <si>
    <t>2. Base</t>
  </si>
  <si>
    <t>3. Optimistic</t>
  </si>
  <si>
    <t>2027-2031</t>
  </si>
  <si>
    <t>EBIAT</t>
  </si>
  <si>
    <t>Unlevered Free Cash Flow</t>
  </si>
  <si>
    <t>PV of Unlevered Free Cash Flow</t>
  </si>
  <si>
    <t>--</t>
  </si>
  <si>
    <t>Tax Rate</t>
  </si>
  <si>
    <t>WACC</t>
  </si>
  <si>
    <t>TGR</t>
  </si>
  <si>
    <t>Operating Insurance &amp; Other Revenue (ex-Investment Income &amp; Gains)</t>
  </si>
  <si>
    <t>Total Operating Revenue</t>
  </si>
  <si>
    <t>Total Revenue (Operating &amp; Non-operating)</t>
  </si>
  <si>
    <t>Depreciation &amp; Amortization Breakdown</t>
  </si>
  <si>
    <t>Depreciation Expense</t>
  </si>
  <si>
    <t>Railroads, Utilities &amp; Energy</t>
  </si>
  <si>
    <t>% total depreciation</t>
  </si>
  <si>
    <t>Total Depreciation</t>
  </si>
  <si>
    <t>Amortization Expense</t>
  </si>
  <si>
    <t>% total amortization</t>
  </si>
  <si>
    <t>Total Amortization</t>
  </si>
  <si>
    <t>Total D&amp;A</t>
  </si>
  <si>
    <t>% total D&amp;A</t>
  </si>
  <si>
    <t>Total Depreciation &amp; Amortization</t>
  </si>
  <si>
    <t>% insurance &amp; other revenue</t>
  </si>
  <si>
    <t>% railroads, utilities &amp; energy revenue</t>
  </si>
  <si>
    <t xml:space="preserve">Insurance &amp; Other </t>
  </si>
  <si>
    <t>Beginning Gross PP&amp;E</t>
  </si>
  <si>
    <t>Ending Gross PP&amp;E</t>
  </si>
  <si>
    <t>(+) CapEx</t>
  </si>
  <si>
    <t>Insurance &amp; Other (partial)</t>
  </si>
  <si>
    <t>Insurance &amp; Other (actual)</t>
  </si>
  <si>
    <t>Railroads, Utilities &amp; Energy (partial)</t>
  </si>
  <si>
    <t>Railroads, Utilities &amp; Energy (actual)</t>
  </si>
  <si>
    <t>Total CapEx (Actual)</t>
  </si>
  <si>
    <t>% total operating revenue</t>
  </si>
  <si>
    <t>% total CapEx (partial)</t>
  </si>
  <si>
    <t>Total CapEx (partial) [for reference]</t>
  </si>
  <si>
    <t>CapEx Breakdown</t>
  </si>
  <si>
    <t>% of operating revenue</t>
  </si>
  <si>
    <t>Total CapEx</t>
  </si>
  <si>
    <t>Cash and cash equivalents</t>
  </si>
  <si>
    <t>Short-term investments in U.S. Treasury Bills</t>
  </si>
  <si>
    <t>Investments in fixed maturity securities</t>
  </si>
  <si>
    <t>Investments in equity securities</t>
  </si>
  <si>
    <t>Equity method investments</t>
  </si>
  <si>
    <t>Interest Bearing Base</t>
  </si>
  <si>
    <t>% interest rate</t>
  </si>
  <si>
    <t xml:space="preserve">Interest and other investment income </t>
  </si>
  <si>
    <t>2026-2031</t>
  </si>
  <si>
    <t>Gains on Equity holdings</t>
  </si>
  <si>
    <t>Insurance reserve and float-related changes</t>
  </si>
  <si>
    <t>Other WC changes</t>
  </si>
  <si>
    <t>Changes in NWC</t>
  </si>
  <si>
    <t>% of insurance premiums earned</t>
  </si>
  <si>
    <t>% total revenue</t>
  </si>
  <si>
    <t>Comp. Name</t>
  </si>
  <si>
    <t>Total Debt</t>
  </si>
  <si>
    <t>Total Equity</t>
  </si>
  <si>
    <t>Total Capital</t>
  </si>
  <si>
    <t>Debt/Equity</t>
  </si>
  <si>
    <t>Levered Beta</t>
  </si>
  <si>
    <t>Unlevered Beta</t>
  </si>
  <si>
    <t>Median</t>
  </si>
  <si>
    <t>WACC Calculation</t>
  </si>
  <si>
    <t>Cost of Equity</t>
  </si>
  <si>
    <t>Equity Risk Premium</t>
  </si>
  <si>
    <t>Risk Free Rate</t>
  </si>
  <si>
    <t>Cost of Debt</t>
  </si>
  <si>
    <t>Pre-Tax Cost of Debt</t>
  </si>
  <si>
    <t>Cost Of Debt</t>
  </si>
  <si>
    <t>Segment Name</t>
  </si>
  <si>
    <t>Segment Weight</t>
  </si>
  <si>
    <t>Insurance</t>
  </si>
  <si>
    <t>Total EBIT</t>
  </si>
  <si>
    <t>% total EBIT</t>
  </si>
  <si>
    <t>Chubb</t>
  </si>
  <si>
    <t>Travelers</t>
  </si>
  <si>
    <t>Hartford</t>
  </si>
  <si>
    <t>Progressive</t>
  </si>
  <si>
    <t>Railroad</t>
  </si>
  <si>
    <t>Union Pacific</t>
  </si>
  <si>
    <t>Norfolk Southern</t>
  </si>
  <si>
    <t>Utilities &amp; Energy</t>
  </si>
  <si>
    <t>NextEra</t>
  </si>
  <si>
    <t>Duke</t>
  </si>
  <si>
    <t>Southern Company</t>
  </si>
  <si>
    <t>Manufacturing &amp; Retail</t>
  </si>
  <si>
    <t>Honeywell</t>
  </si>
  <si>
    <t>Parker Hannifin</t>
  </si>
  <si>
    <t>EBITDA</t>
  </si>
  <si>
    <t>Weighted Average Unlevered Beta</t>
  </si>
  <si>
    <t>Berkshire Hathaway Capital Structure</t>
  </si>
  <si>
    <t>Debt Weight</t>
  </si>
  <si>
    <t>Equity Weight</t>
  </si>
  <si>
    <t>Current Share Price</t>
  </si>
  <si>
    <t>Debt to Equity</t>
  </si>
  <si>
    <t>Stub</t>
  </si>
  <si>
    <t>Discount Period</t>
  </si>
  <si>
    <t>Terminal Value</t>
  </si>
  <si>
    <t>PV of Terminal Value</t>
  </si>
  <si>
    <t>Enterprise Value</t>
  </si>
  <si>
    <t>(+) Equity Securities Portfolio (Market Value)</t>
  </si>
  <si>
    <t>(+) Cash</t>
  </si>
  <si>
    <t>(-) Debt</t>
  </si>
  <si>
    <t>Equity Value</t>
  </si>
  <si>
    <t>Shares Outstanding</t>
  </si>
  <si>
    <t>Implied Equity Value per Share</t>
  </si>
  <si>
    <t>Sensitivity Table</t>
  </si>
  <si>
    <t>Implied Share Price</t>
  </si>
  <si>
    <t>Premium/(Discount)</t>
  </si>
  <si>
    <t>Beta</t>
  </si>
  <si>
    <t>Terminal Value (TV)</t>
  </si>
  <si>
    <t>Perpetuity Growth</t>
  </si>
  <si>
    <t>Exit Multiple</t>
  </si>
  <si>
    <t>% Perpetuity</t>
  </si>
  <si>
    <t>Terminal Growth Rate</t>
  </si>
  <si>
    <t>Terminal Year EBITDA</t>
  </si>
  <si>
    <t>% Exit Multiple</t>
  </si>
  <si>
    <t>EBITDA Multiple</t>
  </si>
  <si>
    <t>Total Terminal Value</t>
  </si>
  <si>
    <t>Total Enterprise Value (TEV)</t>
  </si>
  <si>
    <t>Terminal Value as a % of TEV</t>
  </si>
  <si>
    <t>Implied TV Exit EBITDA Multiple</t>
  </si>
  <si>
    <t>Implied Terminal Growth Rate</t>
  </si>
  <si>
    <t>TV Sanity Checks</t>
  </si>
  <si>
    <t>Terminal UFCF / Terminal EBITDA</t>
  </si>
  <si>
    <t>CHECK</t>
  </si>
  <si>
    <t>EBITDA Reconciliation</t>
  </si>
  <si>
    <t>(+) D&amp;A</t>
  </si>
  <si>
    <t>CSX</t>
  </si>
  <si>
    <t>Illinois Tool Works</t>
  </si>
  <si>
    <t>Actuals</t>
  </si>
  <si>
    <t>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</si>
</sst>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dd&quot;&quot;\ mmm\'yy"/>
    <numFmt numFmtId="165" formatCode="yyyy\ &quot;A&quot;"/>
    <numFmt numFmtId="166" formatCode="yyyy\ &quot;E&quot;"/>
    <numFmt numFmtId="167" formatCode="0%_);\(0%\)"/>
    <numFmt numFmtId="168" formatCode="0.0%_);\(0.0%\)"/>
    <numFmt numFmtId="169" formatCode="0.0%"/>
    <numFmt numFmtId="170" formatCode="0.00_)"/>
    <numFmt numFmtId="171" formatCode="0.00%_);\(0.00%\)"/>
    <numFmt numFmtId="172" formatCode="0.00\x"/>
    <numFmt numFmtId="173" formatCode="0_)"/>
    <numFmt numFmtId="174" formatCode="#,##0.00_)"/>
    <numFmt numFmtId="175" formatCode="0%_)"/>
    <numFmt numFmtId="176" formatCode="0.00\x_)"/>
  </numFmts>
  <fonts count="3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3366"/>
      <name val="Arial"/>
      <family val="2"/>
    </font>
    <font>
      <sz val="10"/>
      <color rgb="FF646464"/>
      <name val="Arial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FF"/>
      <name val="Calibri"/>
      <family val="2"/>
    </font>
    <font>
      <i/>
      <sz val="9"/>
      <color theme="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i/>
      <sz val="11"/>
      <color rgb="FF0000FF"/>
      <name val="Calibri"/>
      <family val="2"/>
    </font>
    <font>
      <i/>
      <sz val="10"/>
      <color theme="1"/>
      <name val="Arial"/>
      <family val="2"/>
    </font>
    <font>
      <sz val="10"/>
      <name val="Calibri"/>
      <family val="2"/>
    </font>
    <font>
      <b/>
      <sz val="16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color rgb="FF0000FF"/>
      <name val="Calibri"/>
      <family val="2"/>
    </font>
    <font>
      <sz val="10"/>
      <color theme="1"/>
      <name val="Calibri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sz val="11"/>
      <color theme="0" tint="-4.9989318521683403E-2"/>
      <name val="Calibri"/>
      <family val="2"/>
    </font>
    <font>
      <i/>
      <sz val="10"/>
      <color theme="1"/>
      <name val="Calibri"/>
      <family val="2"/>
    </font>
    <font>
      <i/>
      <sz val="10"/>
      <color rgb="FFC00000"/>
      <name val="Calibri"/>
      <family val="2"/>
    </font>
    <font>
      <b/>
      <sz val="11"/>
      <color rgb="FF0000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03">
    <xf numFmtId="0" fontId="0" fillId="0" borderId="0" xfId="0"/>
    <xf numFmtId="0" fontId="6" fillId="0" borderId="0" xfId="2" applyFont="1"/>
    <xf numFmtId="0" fontId="5" fillId="0" borderId="1" xfId="2" applyBorder="1"/>
    <xf numFmtId="0" fontId="5" fillId="0" borderId="2" xfId="2" applyBorder="1"/>
    <xf numFmtId="0" fontId="5" fillId="0" borderId="0" xfId="2"/>
    <xf numFmtId="0" fontId="6" fillId="2" borderId="0" xfId="2" applyFont="1" applyFill="1" applyAlignment="1">
      <alignment horizontal="left"/>
    </xf>
    <xf numFmtId="0" fontId="7" fillId="0" borderId="0" xfId="2" applyFont="1" applyAlignment="1">
      <alignment horizontal="left"/>
    </xf>
    <xf numFmtId="0" fontId="7" fillId="3" borderId="0" xfId="2" applyFont="1" applyFill="1" applyAlignment="1">
      <alignment horizontal="left" indent="3"/>
    </xf>
    <xf numFmtId="0" fontId="5" fillId="0" borderId="0" xfId="2" applyAlignment="1">
      <alignment horizontal="left" indent="4"/>
    </xf>
    <xf numFmtId="0" fontId="5" fillId="3" borderId="0" xfId="2" applyFill="1" applyAlignment="1">
      <alignment horizontal="left" indent="4"/>
    </xf>
    <xf numFmtId="0" fontId="7" fillId="0" borderId="0" xfId="2" applyFont="1" applyAlignment="1">
      <alignment horizontal="left" indent="6"/>
    </xf>
    <xf numFmtId="0" fontId="5" fillId="3" borderId="0" xfId="2" applyFill="1" applyAlignment="1">
      <alignment horizontal="left" indent="7"/>
    </xf>
    <xf numFmtId="0" fontId="5" fillId="0" borderId="0" xfId="2" applyAlignment="1">
      <alignment horizontal="left" indent="7"/>
    </xf>
    <xf numFmtId="0" fontId="5" fillId="3" borderId="0" xfId="2" applyFill="1" applyAlignment="1">
      <alignment horizontal="left" indent="1"/>
    </xf>
    <xf numFmtId="0" fontId="5" fillId="0" borderId="0" xfId="2" applyAlignment="1">
      <alignment horizontal="left" indent="1"/>
    </xf>
    <xf numFmtId="0" fontId="7" fillId="3" borderId="0" xfId="2" applyFont="1" applyFill="1" applyAlignment="1">
      <alignment horizontal="left"/>
    </xf>
    <xf numFmtId="0" fontId="7" fillId="0" borderId="0" xfId="2" applyFont="1" applyAlignment="1">
      <alignment horizontal="left" indent="3"/>
    </xf>
    <xf numFmtId="0" fontId="7" fillId="3" borderId="0" xfId="2" applyFont="1" applyFill="1" applyAlignment="1">
      <alignment horizontal="left" indent="6"/>
    </xf>
    <xf numFmtId="0" fontId="5" fillId="3" borderId="0" xfId="2" applyFill="1" applyAlignment="1">
      <alignment horizontal="left"/>
    </xf>
    <xf numFmtId="0" fontId="5" fillId="0" borderId="0" xfId="2" applyAlignment="1">
      <alignment horizontal="left"/>
    </xf>
    <xf numFmtId="0" fontId="8" fillId="0" borderId="0" xfId="2" applyFont="1" applyAlignment="1">
      <alignment horizontal="left"/>
    </xf>
    <xf numFmtId="164" fontId="0" fillId="0" borderId="0" xfId="0" applyNumberFormat="1"/>
    <xf numFmtId="37" fontId="0" fillId="0" borderId="0" xfId="0" applyNumberFormat="1"/>
    <xf numFmtId="37" fontId="0" fillId="0" borderId="0" xfId="0" applyNumberFormat="1" applyAlignment="1">
      <alignment horizontal="right"/>
    </xf>
    <xf numFmtId="0" fontId="3" fillId="0" borderId="0" xfId="0" applyFont="1"/>
    <xf numFmtId="37" fontId="3" fillId="0" borderId="0" xfId="0" applyNumberFormat="1" applyFont="1" applyAlignment="1">
      <alignment horizontal="right"/>
    </xf>
    <xf numFmtId="37" fontId="3" fillId="0" borderId="0" xfId="0" applyNumberFormat="1" applyFont="1"/>
    <xf numFmtId="0" fontId="7" fillId="0" borderId="0" xfId="2" applyFont="1" applyAlignment="1">
      <alignment horizontal="left" indent="9"/>
    </xf>
    <xf numFmtId="0" fontId="5" fillId="3" borderId="0" xfId="2" applyFill="1" applyAlignment="1">
      <alignment horizontal="left" indent="10"/>
    </xf>
    <xf numFmtId="0" fontId="5" fillId="0" borderId="0" xfId="2" applyAlignment="1">
      <alignment horizontal="left" indent="10"/>
    </xf>
    <xf numFmtId="0" fontId="0" fillId="0" borderId="3" xfId="0" applyBorder="1"/>
    <xf numFmtId="0" fontId="9" fillId="0" borderId="3" xfId="0" applyFont="1" applyBorder="1"/>
    <xf numFmtId="0" fontId="10" fillId="4" borderId="4" xfId="0" applyFont="1" applyFill="1" applyBorder="1" applyAlignment="1">
      <alignment horizontal="center"/>
    </xf>
    <xf numFmtId="14" fontId="10" fillId="4" borderId="4" xfId="0" applyNumberFormat="1" applyFont="1" applyFill="1" applyBorder="1" applyAlignment="1">
      <alignment horizontal="center"/>
    </xf>
    <xf numFmtId="0" fontId="2" fillId="5" borderId="0" xfId="0" applyFont="1" applyFill="1"/>
    <xf numFmtId="0" fontId="2" fillId="6" borderId="0" xfId="0" applyFont="1" applyFill="1"/>
    <xf numFmtId="165" fontId="2" fillId="5" borderId="0" xfId="0" applyNumberFormat="1" applyFont="1" applyFill="1"/>
    <xf numFmtId="165" fontId="2" fillId="0" borderId="0" xfId="0" applyNumberFormat="1" applyFont="1"/>
    <xf numFmtId="166" fontId="2" fillId="5" borderId="0" xfId="0" applyNumberFormat="1" applyFont="1" applyFill="1"/>
    <xf numFmtId="0" fontId="11" fillId="0" borderId="0" xfId="0" applyFont="1"/>
    <xf numFmtId="0" fontId="11" fillId="0" borderId="0" xfId="0" applyFont="1" applyAlignment="1">
      <alignment horizontal="left" indent="1"/>
    </xf>
    <xf numFmtId="9" fontId="11" fillId="0" borderId="0" xfId="1" applyFont="1"/>
    <xf numFmtId="9" fontId="11" fillId="0" borderId="0" xfId="0" applyNumberFormat="1" applyFont="1"/>
    <xf numFmtId="0" fontId="11" fillId="4" borderId="4" xfId="0" applyFont="1" applyFill="1" applyBorder="1"/>
    <xf numFmtId="0" fontId="12" fillId="0" borderId="0" xfId="0" applyFont="1" applyAlignment="1">
      <alignment horizontal="left" indent="1"/>
    </xf>
    <xf numFmtId="0" fontId="12" fillId="0" borderId="0" xfId="0" applyFont="1"/>
    <xf numFmtId="9" fontId="12" fillId="0" borderId="0" xfId="1" applyFont="1"/>
    <xf numFmtId="9" fontId="0" fillId="0" borderId="0" xfId="0" applyNumberFormat="1"/>
    <xf numFmtId="0" fontId="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7" fontId="11" fillId="0" borderId="0" xfId="1" applyNumberFormat="1" applyFont="1"/>
    <xf numFmtId="167" fontId="12" fillId="0" borderId="0" xfId="1" applyNumberFormat="1" applyFont="1"/>
    <xf numFmtId="0" fontId="15" fillId="0" borderId="0" xfId="0" applyFont="1"/>
    <xf numFmtId="167" fontId="11" fillId="4" borderId="4" xfId="0" applyNumberFormat="1" applyFont="1" applyFill="1" applyBorder="1"/>
    <xf numFmtId="168" fontId="14" fillId="4" borderId="4" xfId="0" applyNumberFormat="1" applyFont="1" applyFill="1" applyBorder="1" applyAlignment="1">
      <alignment horizontal="center"/>
    </xf>
    <xf numFmtId="168" fontId="0" fillId="4" borderId="4" xfId="0" applyNumberFormat="1" applyFill="1" applyBorder="1" applyAlignment="1">
      <alignment horizontal="center"/>
    </xf>
    <xf numFmtId="167" fontId="11" fillId="0" borderId="0" xfId="0" applyNumberFormat="1" applyFont="1"/>
    <xf numFmtId="168" fontId="11" fillId="0" borderId="0" xfId="0" applyNumberFormat="1" applyFont="1"/>
    <xf numFmtId="9" fontId="12" fillId="0" borderId="0" xfId="1" quotePrefix="1" applyFont="1" applyAlignment="1">
      <alignment horizontal="right"/>
    </xf>
    <xf numFmtId="0" fontId="6" fillId="3" borderId="5" xfId="2" applyFont="1" applyFill="1" applyBorder="1" applyAlignment="1">
      <alignment horizontal="left" indent="4"/>
    </xf>
    <xf numFmtId="37" fontId="3" fillId="0" borderId="7" xfId="0" applyNumberFormat="1" applyFont="1" applyBorder="1" applyAlignment="1">
      <alignment horizontal="right"/>
    </xf>
    <xf numFmtId="0" fontId="6" fillId="3" borderId="8" xfId="2" applyFont="1" applyFill="1" applyBorder="1" applyAlignment="1">
      <alignment horizontal="left" indent="4"/>
    </xf>
    <xf numFmtId="37" fontId="3" fillId="0" borderId="3" xfId="0" applyNumberFormat="1" applyFont="1" applyBorder="1" applyAlignment="1">
      <alignment horizontal="right"/>
    </xf>
    <xf numFmtId="0" fontId="11" fillId="0" borderId="0" xfId="0" quotePrefix="1" applyFont="1" applyAlignment="1">
      <alignment horizontal="right"/>
    </xf>
    <xf numFmtId="0" fontId="4" fillId="5" borderId="0" xfId="0" applyFont="1" applyFill="1"/>
    <xf numFmtId="37" fontId="14" fillId="0" borderId="0" xfId="0" applyNumberFormat="1" applyFont="1"/>
    <xf numFmtId="10" fontId="0" fillId="0" borderId="0" xfId="0" applyNumberFormat="1"/>
    <xf numFmtId="9" fontId="12" fillId="0" borderId="0" xfId="0" applyNumberFormat="1" applyFont="1"/>
    <xf numFmtId="0" fontId="4" fillId="0" borderId="0" xfId="0" applyFont="1"/>
    <xf numFmtId="0" fontId="3" fillId="0" borderId="11" xfId="0" applyFont="1" applyBorder="1"/>
    <xf numFmtId="37" fontId="3" fillId="0" borderId="11" xfId="0" applyNumberFormat="1" applyFont="1" applyBorder="1"/>
    <xf numFmtId="37" fontId="3" fillId="0" borderId="12" xfId="0" applyNumberFormat="1" applyFont="1" applyBorder="1"/>
    <xf numFmtId="0" fontId="3" fillId="0" borderId="10" xfId="0" applyFont="1" applyBorder="1"/>
    <xf numFmtId="0" fontId="0" fillId="0" borderId="0" xfId="0" applyAlignment="1">
      <alignment horizontal="left" indent="1"/>
    </xf>
    <xf numFmtId="169" fontId="0" fillId="0" borderId="0" xfId="0" applyNumberFormat="1"/>
    <xf numFmtId="0" fontId="3" fillId="0" borderId="5" xfId="0" applyFont="1" applyBorder="1"/>
    <xf numFmtId="0" fontId="3" fillId="0" borderId="6" xfId="0" applyFont="1" applyBorder="1"/>
    <xf numFmtId="37" fontId="3" fillId="0" borderId="6" xfId="0" applyNumberFormat="1" applyFont="1" applyBorder="1"/>
    <xf numFmtId="37" fontId="3" fillId="0" borderId="7" xfId="0" applyNumberFormat="1" applyFont="1" applyBorder="1"/>
    <xf numFmtId="0" fontId="12" fillId="0" borderId="8" xfId="0" applyFont="1" applyBorder="1" applyAlignment="1">
      <alignment horizontal="left" indent="1"/>
    </xf>
    <xf numFmtId="0" fontId="3" fillId="0" borderId="3" xfId="0" applyFont="1" applyBorder="1"/>
    <xf numFmtId="9" fontId="12" fillId="0" borderId="3" xfId="1" applyFont="1" applyBorder="1"/>
    <xf numFmtId="9" fontId="12" fillId="0" borderId="3" xfId="0" applyNumberFormat="1" applyFont="1" applyBorder="1"/>
    <xf numFmtId="9" fontId="12" fillId="0" borderId="9" xfId="0" applyNumberFormat="1" applyFont="1" applyBorder="1"/>
    <xf numFmtId="9" fontId="11" fillId="0" borderId="0" xfId="1" applyFont="1" applyAlignment="1">
      <alignment horizontal="right"/>
    </xf>
    <xf numFmtId="0" fontId="5" fillId="0" borderId="10" xfId="2" applyBorder="1" applyAlignment="1">
      <alignment horizontal="left" indent="7"/>
    </xf>
    <xf numFmtId="37" fontId="0" fillId="0" borderId="11" xfId="0" applyNumberFormat="1" applyBorder="1" applyAlignment="1">
      <alignment horizontal="right"/>
    </xf>
    <xf numFmtId="37" fontId="0" fillId="0" borderId="12" xfId="0" applyNumberFormat="1" applyBorder="1" applyAlignment="1">
      <alignment horizontal="right"/>
    </xf>
    <xf numFmtId="0" fontId="19" fillId="0" borderId="0" xfId="2" applyFont="1" applyAlignment="1">
      <alignment horizontal="left" indent="5"/>
    </xf>
    <xf numFmtId="37" fontId="11" fillId="0" borderId="0" xfId="0" applyNumberFormat="1" applyFont="1" applyAlignment="1">
      <alignment horizontal="right"/>
    </xf>
    <xf numFmtId="0" fontId="20" fillId="0" borderId="0" xfId="0" applyFont="1" applyAlignment="1">
      <alignment vertical="top"/>
    </xf>
    <xf numFmtId="0" fontId="21" fillId="0" borderId="3" xfId="0" applyFont="1" applyBorder="1" applyAlignment="1">
      <alignment vertical="top"/>
    </xf>
    <xf numFmtId="0" fontId="20" fillId="0" borderId="3" xfId="0" applyFont="1" applyBorder="1" applyAlignment="1">
      <alignment vertical="top"/>
    </xf>
    <xf numFmtId="0" fontId="22" fillId="5" borderId="3" xfId="0" applyFont="1" applyFill="1" applyBorder="1" applyAlignment="1">
      <alignment vertical="top"/>
    </xf>
    <xf numFmtId="0" fontId="22" fillId="5" borderId="3" xfId="0" applyFont="1" applyFill="1" applyBorder="1" applyAlignment="1">
      <alignment horizontal="right" vertical="top"/>
    </xf>
    <xf numFmtId="0" fontId="23" fillId="0" borderId="0" xfId="0" applyFont="1" applyAlignment="1">
      <alignment vertical="top"/>
    </xf>
    <xf numFmtId="10" fontId="24" fillId="0" borderId="0" xfId="1" applyNumberFormat="1" applyFont="1" applyAlignment="1">
      <alignment vertical="top"/>
    </xf>
    <xf numFmtId="168" fontId="20" fillId="0" borderId="0" xfId="1" applyNumberFormat="1" applyFont="1" applyAlignment="1">
      <alignment vertical="top"/>
    </xf>
    <xf numFmtId="170" fontId="24" fillId="0" borderId="0" xfId="0" applyNumberFormat="1" applyFont="1" applyAlignment="1">
      <alignment vertical="top"/>
    </xf>
    <xf numFmtId="170" fontId="20" fillId="0" borderId="0" xfId="0" quotePrefix="1" applyNumberFormat="1" applyFont="1" applyAlignment="1">
      <alignment horizontal="right" vertical="top"/>
    </xf>
    <xf numFmtId="170" fontId="20" fillId="0" borderId="0" xfId="0" applyNumberFormat="1" applyFont="1" applyAlignment="1">
      <alignment vertical="top"/>
    </xf>
    <xf numFmtId="0" fontId="23" fillId="0" borderId="6" xfId="0" applyFont="1" applyBorder="1" applyAlignment="1">
      <alignment vertical="top"/>
    </xf>
    <xf numFmtId="168" fontId="23" fillId="0" borderId="0" xfId="1" applyNumberFormat="1" applyFont="1" applyAlignment="1">
      <alignment vertical="top"/>
    </xf>
    <xf numFmtId="0" fontId="20" fillId="0" borderId="0" xfId="0" applyFont="1" applyAlignment="1">
      <alignment horizontal="left" vertical="top" indent="1"/>
    </xf>
    <xf numFmtId="171" fontId="24" fillId="7" borderId="4" xfId="1" applyNumberFormat="1" applyFont="1" applyFill="1" applyBorder="1" applyAlignment="1">
      <alignment vertical="top"/>
    </xf>
    <xf numFmtId="170" fontId="25" fillId="7" borderId="4" xfId="0" applyNumberFormat="1" applyFont="1" applyFill="1" applyBorder="1" applyAlignment="1">
      <alignment vertical="top"/>
    </xf>
    <xf numFmtId="168" fontId="20" fillId="7" borderId="4" xfId="1" applyNumberFormat="1" applyFont="1" applyFill="1" applyBorder="1" applyAlignment="1">
      <alignment vertical="top"/>
    </xf>
    <xf numFmtId="10" fontId="20" fillId="7" borderId="4" xfId="0" applyNumberFormat="1" applyFont="1" applyFill="1" applyBorder="1" applyAlignment="1">
      <alignment vertical="top"/>
    </xf>
    <xf numFmtId="168" fontId="20" fillId="0" borderId="0" xfId="0" applyNumberFormat="1" applyFont="1" applyAlignment="1">
      <alignment vertical="top"/>
    </xf>
    <xf numFmtId="0" fontId="23" fillId="8" borderId="10" xfId="0" applyFont="1" applyFill="1" applyBorder="1" applyAlignment="1">
      <alignment vertical="top"/>
    </xf>
    <xf numFmtId="0" fontId="20" fillId="8" borderId="11" xfId="0" applyFont="1" applyFill="1" applyBorder="1" applyAlignment="1">
      <alignment vertical="top"/>
    </xf>
    <xf numFmtId="169" fontId="23" fillId="8" borderId="12" xfId="1" applyNumberFormat="1" applyFont="1" applyFill="1" applyBorder="1" applyAlignment="1">
      <alignment vertical="top"/>
    </xf>
    <xf numFmtId="0" fontId="23" fillId="8" borderId="11" xfId="0" applyFont="1" applyFill="1" applyBorder="1" applyAlignment="1">
      <alignment vertical="top"/>
    </xf>
    <xf numFmtId="168" fontId="23" fillId="0" borderId="0" xfId="0" applyNumberFormat="1" applyFont="1" applyAlignment="1">
      <alignment vertical="top"/>
    </xf>
    <xf numFmtId="170" fontId="10" fillId="0" borderId="0" xfId="0" applyNumberFormat="1" applyFont="1" applyAlignment="1">
      <alignment vertical="top"/>
    </xf>
    <xf numFmtId="0" fontId="22" fillId="5" borderId="3" xfId="0" applyFont="1" applyFill="1" applyBorder="1" applyAlignment="1">
      <alignment horizontal="left" vertical="top"/>
    </xf>
    <xf numFmtId="9" fontId="24" fillId="0" borderId="0" xfId="0" applyNumberFormat="1" applyFont="1" applyAlignment="1">
      <alignment horizontal="left" vertical="top"/>
    </xf>
    <xf numFmtId="0" fontId="23" fillId="0" borderId="11" xfId="0" applyFont="1" applyBorder="1" applyAlignment="1">
      <alignment vertical="top"/>
    </xf>
    <xf numFmtId="170" fontId="10" fillId="0" borderId="11" xfId="0" applyNumberFormat="1" applyFont="1" applyBorder="1" applyAlignment="1">
      <alignment vertical="top"/>
    </xf>
    <xf numFmtId="172" fontId="23" fillId="0" borderId="11" xfId="0" applyNumberFormat="1" applyFont="1" applyBorder="1" applyAlignment="1">
      <alignment vertical="top"/>
    </xf>
    <xf numFmtId="172" fontId="23" fillId="0" borderId="0" xfId="0" applyNumberFormat="1" applyFont="1" applyAlignment="1">
      <alignment vertical="top"/>
    </xf>
    <xf numFmtId="172" fontId="24" fillId="0" borderId="0" xfId="1" applyNumberFormat="1" applyFont="1" applyAlignment="1">
      <alignment vertical="top"/>
    </xf>
    <xf numFmtId="172" fontId="24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170" fontId="23" fillId="0" borderId="11" xfId="0" applyNumberFormat="1" applyFont="1" applyBorder="1" applyAlignment="1">
      <alignment vertical="top"/>
    </xf>
    <xf numFmtId="0" fontId="27" fillId="0" borderId="0" xfId="0" applyFont="1" applyAlignment="1">
      <alignment horizontal="left" vertical="top" indent="1"/>
    </xf>
    <xf numFmtId="4" fontId="0" fillId="0" borderId="0" xfId="0" applyNumberFormat="1"/>
    <xf numFmtId="0" fontId="10" fillId="0" borderId="0" xfId="0" applyFont="1" applyAlignment="1">
      <alignment horizontal="right"/>
    </xf>
    <xf numFmtId="37" fontId="23" fillId="0" borderId="0" xfId="0" applyNumberFormat="1" applyFont="1" applyAlignment="1">
      <alignment vertical="top"/>
    </xf>
    <xf numFmtId="37" fontId="25" fillId="0" borderId="0" xfId="0" applyNumberFormat="1" applyFont="1"/>
    <xf numFmtId="9" fontId="27" fillId="0" borderId="0" xfId="1" applyFont="1" applyAlignment="1">
      <alignment vertical="top"/>
    </xf>
    <xf numFmtId="37" fontId="24" fillId="0" borderId="0" xfId="0" applyNumberFormat="1" applyFont="1"/>
    <xf numFmtId="172" fontId="20" fillId="0" borderId="0" xfId="0" applyNumberFormat="1" applyFont="1" applyAlignment="1">
      <alignment vertical="top"/>
    </xf>
    <xf numFmtId="170" fontId="0" fillId="0" borderId="0" xfId="0" applyNumberFormat="1"/>
    <xf numFmtId="171" fontId="11" fillId="4" borderId="4" xfId="0" applyNumberFormat="1" applyFont="1" applyFill="1" applyBorder="1"/>
    <xf numFmtId="171" fontId="18" fillId="4" borderId="4" xfId="0" applyNumberFormat="1" applyFont="1" applyFill="1" applyBorder="1"/>
    <xf numFmtId="173" fontId="0" fillId="0" borderId="0" xfId="0" applyNumberFormat="1"/>
    <xf numFmtId="0" fontId="3" fillId="8" borderId="10" xfId="0" applyFont="1" applyFill="1" applyBorder="1"/>
    <xf numFmtId="0" fontId="3" fillId="8" borderId="11" xfId="0" applyFont="1" applyFill="1" applyBorder="1"/>
    <xf numFmtId="37" fontId="3" fillId="8" borderId="12" xfId="0" applyNumberFormat="1" applyFont="1" applyFill="1" applyBorder="1"/>
    <xf numFmtId="0" fontId="3" fillId="8" borderId="5" xfId="0" applyFont="1" applyFill="1" applyBorder="1"/>
    <xf numFmtId="0" fontId="3" fillId="8" borderId="6" xfId="0" applyFont="1" applyFill="1" applyBorder="1"/>
    <xf numFmtId="37" fontId="3" fillId="8" borderId="6" xfId="0" applyNumberFormat="1" applyFont="1" applyFill="1" applyBorder="1"/>
    <xf numFmtId="37" fontId="3" fillId="8" borderId="7" xfId="0" applyNumberFormat="1" applyFont="1" applyFill="1" applyBorder="1"/>
    <xf numFmtId="0" fontId="3" fillId="8" borderId="8" xfId="0" applyFont="1" applyFill="1" applyBorder="1"/>
    <xf numFmtId="0" fontId="3" fillId="8" borderId="3" xfId="0" applyFont="1" applyFill="1" applyBorder="1"/>
    <xf numFmtId="37" fontId="3" fillId="8" borderId="3" xfId="0" applyNumberFormat="1" applyFont="1" applyFill="1" applyBorder="1"/>
    <xf numFmtId="37" fontId="3" fillId="8" borderId="9" xfId="0" applyNumberFormat="1" applyFont="1" applyFill="1" applyBorder="1"/>
    <xf numFmtId="0" fontId="12" fillId="8" borderId="8" xfId="0" applyFont="1" applyFill="1" applyBorder="1" applyAlignment="1">
      <alignment horizontal="left" indent="1"/>
    </xf>
    <xf numFmtId="0" fontId="12" fillId="8" borderId="3" xfId="0" applyFont="1" applyFill="1" applyBorder="1"/>
    <xf numFmtId="167" fontId="12" fillId="8" borderId="3" xfId="1" applyNumberFormat="1" applyFont="1" applyFill="1" applyBorder="1"/>
    <xf numFmtId="167" fontId="12" fillId="8" borderId="9" xfId="1" applyNumberFormat="1" applyFont="1" applyFill="1" applyBorder="1"/>
    <xf numFmtId="9" fontId="12" fillId="8" borderId="3" xfId="1" quotePrefix="1" applyFont="1" applyFill="1" applyBorder="1" applyAlignment="1">
      <alignment horizontal="right"/>
    </xf>
    <xf numFmtId="169" fontId="0" fillId="8" borderId="0" xfId="1" applyNumberFormat="1" applyFont="1" applyFill="1"/>
    <xf numFmtId="0" fontId="0" fillId="8" borderId="3" xfId="0" applyFill="1" applyBorder="1" applyAlignment="1">
      <alignment horizontal="centerContinuous"/>
    </xf>
    <xf numFmtId="169" fontId="0" fillId="8" borderId="14" xfId="0" applyNumberFormat="1" applyFill="1" applyBorder="1"/>
    <xf numFmtId="170" fontId="28" fillId="8" borderId="10" xfId="0" applyNumberFormat="1" applyFont="1" applyFill="1" applyBorder="1"/>
    <xf numFmtId="0" fontId="3" fillId="8" borderId="14" xfId="0" applyFont="1" applyFill="1" applyBorder="1" applyAlignment="1">
      <alignment horizontal="centerContinuous"/>
    </xf>
    <xf numFmtId="0" fontId="0" fillId="8" borderId="14" xfId="0" applyFill="1" applyBorder="1"/>
    <xf numFmtId="0" fontId="3" fillId="8" borderId="14" xfId="0" applyFont="1" applyFill="1" applyBorder="1" applyAlignment="1">
      <alignment horizontal="center"/>
    </xf>
    <xf numFmtId="0" fontId="0" fillId="8" borderId="9" xfId="0" applyFill="1" applyBorder="1" applyAlignment="1">
      <alignment horizontal="centerContinuous"/>
    </xf>
    <xf numFmtId="169" fontId="0" fillId="8" borderId="9" xfId="1" applyNumberFormat="1" applyFont="1" applyFill="1" applyBorder="1"/>
    <xf numFmtId="0" fontId="0" fillId="8" borderId="8" xfId="0" applyFill="1" applyBorder="1"/>
    <xf numFmtId="169" fontId="0" fillId="8" borderId="13" xfId="0" applyNumberFormat="1" applyFill="1" applyBorder="1"/>
    <xf numFmtId="2" fontId="0" fillId="8" borderId="4" xfId="0" applyNumberFormat="1" applyFill="1" applyBorder="1"/>
    <xf numFmtId="171" fontId="29" fillId="0" borderId="0" xfId="0" applyNumberFormat="1" applyFont="1" applyAlignment="1">
      <alignment horizontal="right"/>
    </xf>
    <xf numFmtId="174" fontId="3" fillId="4" borderId="4" xfId="0" applyNumberFormat="1" applyFont="1" applyFill="1" applyBorder="1"/>
    <xf numFmtId="0" fontId="3" fillId="8" borderId="14" xfId="0" applyFont="1" applyFill="1" applyBorder="1"/>
    <xf numFmtId="0" fontId="3" fillId="8" borderId="3" xfId="0" applyFont="1" applyFill="1" applyBorder="1" applyAlignment="1">
      <alignment horizontal="centerContinuous"/>
    </xf>
    <xf numFmtId="2" fontId="0" fillId="8" borderId="14" xfId="0" applyNumberFormat="1" applyFill="1" applyBorder="1"/>
    <xf numFmtId="2" fontId="0" fillId="8" borderId="13" xfId="0" applyNumberFormat="1" applyFill="1" applyBorder="1"/>
    <xf numFmtId="10" fontId="0" fillId="8" borderId="4" xfId="1" applyNumberFormat="1" applyFont="1" applyFill="1" applyBorder="1"/>
    <xf numFmtId="169" fontId="0" fillId="8" borderId="12" xfId="1" applyNumberFormat="1" applyFont="1" applyFill="1" applyBorder="1"/>
    <xf numFmtId="0" fontId="22" fillId="5" borderId="0" xfId="0" applyFont="1" applyFill="1" applyAlignment="1">
      <alignment vertical="top"/>
    </xf>
    <xf numFmtId="0" fontId="22" fillId="6" borderId="0" xfId="0" applyFont="1" applyFill="1" applyAlignment="1">
      <alignment vertical="top"/>
    </xf>
    <xf numFmtId="0" fontId="20" fillId="6" borderId="0" xfId="0" applyFont="1" applyFill="1" applyAlignment="1">
      <alignment vertical="top"/>
    </xf>
    <xf numFmtId="175" fontId="24" fillId="7" borderId="4" xfId="0" applyNumberFormat="1" applyFont="1" applyFill="1" applyBorder="1" applyAlignment="1">
      <alignment vertical="top"/>
    </xf>
    <xf numFmtId="167" fontId="20" fillId="0" borderId="0" xfId="1" applyNumberFormat="1" applyFont="1" applyAlignment="1">
      <alignment vertical="top"/>
    </xf>
    <xf numFmtId="37" fontId="20" fillId="0" borderId="0" xfId="0" applyNumberFormat="1" applyFont="1" applyAlignment="1">
      <alignment vertical="top"/>
    </xf>
    <xf numFmtId="175" fontId="20" fillId="7" borderId="4" xfId="0" applyNumberFormat="1" applyFont="1" applyFill="1" applyBorder="1" applyAlignment="1">
      <alignment vertical="top"/>
    </xf>
    <xf numFmtId="176" fontId="20" fillId="0" borderId="0" xfId="0" applyNumberFormat="1" applyFont="1" applyAlignment="1">
      <alignment horizontal="right" vertical="top"/>
    </xf>
    <xf numFmtId="37" fontId="23" fillId="0" borderId="6" xfId="0" applyNumberFormat="1" applyFont="1" applyBorder="1" applyAlignment="1">
      <alignment vertical="top"/>
    </xf>
    <xf numFmtId="171" fontId="20" fillId="0" borderId="0" xfId="1" applyNumberFormat="1" applyFont="1" applyAlignment="1">
      <alignment vertical="top"/>
    </xf>
    <xf numFmtId="0" fontId="26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right" vertical="top"/>
    </xf>
    <xf numFmtId="171" fontId="0" fillId="0" borderId="0" xfId="0" applyNumberFormat="1"/>
    <xf numFmtId="171" fontId="11" fillId="0" borderId="0" xfId="0" applyNumberFormat="1" applyFont="1"/>
    <xf numFmtId="0" fontId="22" fillId="0" borderId="0" xfId="0" applyFont="1" applyAlignment="1">
      <alignment vertical="top"/>
    </xf>
    <xf numFmtId="0" fontId="3" fillId="8" borderId="5" xfId="0" applyFont="1" applyFill="1" applyBorder="1" applyAlignment="1">
      <alignment horizontal="centerContinuous"/>
    </xf>
    <xf numFmtId="0" fontId="0" fillId="8" borderId="11" xfId="0" applyFill="1" applyBorder="1" applyAlignment="1">
      <alignment horizontal="centerContinuous"/>
    </xf>
    <xf numFmtId="0" fontId="0" fillId="8" borderId="12" xfId="0" applyFill="1" applyBorder="1" applyAlignment="1">
      <alignment horizontal="centerContinuous"/>
    </xf>
    <xf numFmtId="170" fontId="3" fillId="8" borderId="12" xfId="0" applyNumberFormat="1" applyFont="1" applyFill="1" applyBorder="1"/>
    <xf numFmtId="9" fontId="12" fillId="8" borderId="3" xfId="1" applyFont="1" applyFill="1" applyBorder="1"/>
    <xf numFmtId="9" fontId="12" fillId="8" borderId="9" xfId="1" applyFont="1" applyFill="1" applyBorder="1"/>
    <xf numFmtId="176" fontId="24" fillId="0" borderId="0" xfId="0" applyNumberFormat="1" applyFont="1" applyAlignment="1">
      <alignment horizontal="right" vertical="top"/>
    </xf>
    <xf numFmtId="174" fontId="31" fillId="4" borderId="4" xfId="0" applyNumberFormat="1" applyFont="1" applyFill="1" applyBorder="1"/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</cellXfs>
  <cellStyles count="3">
    <cellStyle name="Normal" xfId="0" builtinId="0"/>
    <cellStyle name="Normal 2" xfId="2" xr:uid="{10835C94-CB24-A448-B49C-4B4FD6CFB207}"/>
    <cellStyle name="Per cent" xfId="1" builtinId="5"/>
  </cellStyles>
  <dxfs count="0"/>
  <tableStyles count="0" defaultTableStyle="TableStyleMedium2" defaultPivotStyle="PivotStyleLight16"/>
  <colors>
    <mruColors>
      <color rgb="FF0000FF"/>
      <color rgb="FFFFF2CC"/>
      <color rgb="FF0000EA"/>
      <color rgb="FFFFFF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1FF6-5D19-F24A-A031-CFEE8C900BD5}">
  <dimension ref="A2:AE192"/>
  <sheetViews>
    <sheetView showGridLines="0" tabSelected="1" zoomScaleNormal="100" workbookViewId="0">
      <selection activeCell="F14" sqref="F14"/>
    </sheetView>
  </sheetViews>
  <sheetFormatPr baseColWidth="10" defaultRowHeight="15" x14ac:dyDescent="0.2"/>
  <cols>
    <col min="1" max="1" width="2" customWidth="1"/>
    <col min="2" max="2" width="13.1640625" customWidth="1"/>
    <col min="4" max="9" width="10.83203125" customWidth="1"/>
    <col min="15" max="17" width="10.83203125" customWidth="1"/>
    <col min="25" max="25" width="10.83203125" customWidth="1"/>
  </cols>
  <sheetData>
    <row r="2" spans="1:31" ht="24" x14ac:dyDescent="0.3">
      <c r="B2" s="31" t="s">
        <v>121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5" customHeight="1" x14ac:dyDescent="0.2"/>
    <row r="4" spans="1:31" ht="5" customHeight="1" x14ac:dyDescent="0.2"/>
    <row r="5" spans="1:31" x14ac:dyDescent="0.2">
      <c r="B5" t="s">
        <v>122</v>
      </c>
      <c r="E5" s="32" t="s">
        <v>125</v>
      </c>
      <c r="G5" s="24" t="s">
        <v>248</v>
      </c>
      <c r="H5" s="24"/>
      <c r="I5" s="199">
        <v>489.46</v>
      </c>
      <c r="J5" s="130"/>
    </row>
    <row r="6" spans="1:31" x14ac:dyDescent="0.2">
      <c r="B6" t="s">
        <v>123</v>
      </c>
      <c r="E6" s="33">
        <f ca="1">TODAY()</f>
        <v>46245</v>
      </c>
      <c r="G6" s="24" t="s">
        <v>262</v>
      </c>
      <c r="H6" s="51"/>
      <c r="I6" s="169">
        <f ca="1">T175</f>
        <v>512.85394936171213</v>
      </c>
    </row>
    <row r="7" spans="1:31" x14ac:dyDescent="0.2">
      <c r="B7" t="s">
        <v>124</v>
      </c>
      <c r="E7" s="33">
        <v>46387</v>
      </c>
      <c r="G7" s="39" t="s">
        <v>263</v>
      </c>
      <c r="H7" s="51"/>
      <c r="I7" s="168">
        <f ca="1">I6/I5-1</f>
        <v>4.7795426310039968E-2</v>
      </c>
    </row>
    <row r="9" spans="1:31" x14ac:dyDescent="0.2">
      <c r="A9" t="s">
        <v>126</v>
      </c>
      <c r="B9" s="34" t="s">
        <v>127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48"/>
      <c r="Y9" s="48"/>
      <c r="Z9" s="48"/>
      <c r="AA9" s="48"/>
      <c r="AB9" s="48"/>
    </row>
    <row r="10" spans="1:31" ht="5" customHeight="1" x14ac:dyDescent="0.2"/>
    <row r="11" spans="1:31" x14ac:dyDescent="0.2">
      <c r="B11" s="35" t="s">
        <v>128</v>
      </c>
      <c r="C11" s="35"/>
      <c r="D11" s="35"/>
      <c r="E11" s="35"/>
      <c r="F11" s="48"/>
      <c r="G11" s="35" t="s">
        <v>152</v>
      </c>
      <c r="H11" s="35"/>
      <c r="I11" s="35"/>
      <c r="J11" s="35"/>
      <c r="K11" s="35"/>
      <c r="L11" s="48"/>
      <c r="M11" s="35" t="s">
        <v>153</v>
      </c>
      <c r="N11" s="35"/>
      <c r="O11" s="35"/>
      <c r="P11" s="35"/>
      <c r="Q11" s="35"/>
      <c r="R11" s="48"/>
      <c r="S11" s="35" t="s">
        <v>154</v>
      </c>
      <c r="T11" s="35"/>
      <c r="U11" s="35"/>
      <c r="V11" s="35"/>
      <c r="W11" s="35"/>
      <c r="X11" s="48"/>
      <c r="Y11" s="48"/>
      <c r="Z11" s="48"/>
      <c r="AA11" s="48"/>
      <c r="AB11" s="48"/>
    </row>
    <row r="12" spans="1:31" x14ac:dyDescent="0.2">
      <c r="B12" s="49" t="s">
        <v>137</v>
      </c>
      <c r="G12" s="49" t="s">
        <v>137</v>
      </c>
      <c r="J12" s="50" t="s">
        <v>138</v>
      </c>
      <c r="K12" s="50" t="s">
        <v>139</v>
      </c>
      <c r="M12" s="49" t="s">
        <v>137</v>
      </c>
      <c r="P12" s="50" t="s">
        <v>138</v>
      </c>
      <c r="Q12" s="50" t="s">
        <v>139</v>
      </c>
      <c r="S12" s="49" t="s">
        <v>137</v>
      </c>
      <c r="V12" s="50" t="s">
        <v>138</v>
      </c>
      <c r="W12" s="50" t="s">
        <v>139</v>
      </c>
    </row>
    <row r="13" spans="1:31" x14ac:dyDescent="0.2">
      <c r="B13" t="str">
        <f>$B$33</f>
        <v>Insurance &amp; Other</v>
      </c>
      <c r="E13" s="43">
        <v>2</v>
      </c>
      <c r="G13" t="str">
        <f>$B$33</f>
        <v>Insurance &amp; Other</v>
      </c>
      <c r="J13" s="52">
        <v>2026</v>
      </c>
      <c r="K13" s="57">
        <v>-0.2</v>
      </c>
      <c r="S13" t="str">
        <f>$B$33</f>
        <v>Insurance &amp; Other</v>
      </c>
      <c r="V13" s="52">
        <v>2026</v>
      </c>
      <c r="W13" s="57">
        <v>0.2</v>
      </c>
    </row>
    <row r="14" spans="1:31" x14ac:dyDescent="0.2">
      <c r="B14" t="str">
        <f>$B$39</f>
        <v>Railroads, utilities and energy</v>
      </c>
      <c r="E14" s="43">
        <v>2</v>
      </c>
      <c r="G14" t="str">
        <f>$B$33</f>
        <v>Insurance &amp; Other</v>
      </c>
      <c r="J14" s="52">
        <v>2031</v>
      </c>
      <c r="K14" s="57">
        <v>5.0000000000000001E-3</v>
      </c>
      <c r="M14" t="str">
        <f>$B$33</f>
        <v>Insurance &amp; Other</v>
      </c>
      <c r="P14" s="52">
        <v>2031</v>
      </c>
      <c r="Q14" s="57">
        <v>0.02</v>
      </c>
      <c r="S14" t="str">
        <f>$B$33</f>
        <v>Insurance &amp; Other</v>
      </c>
      <c r="V14" s="52">
        <v>2031</v>
      </c>
      <c r="W14" s="57">
        <v>3.5000000000000003E-2</v>
      </c>
    </row>
    <row r="15" spans="1:31" x14ac:dyDescent="0.2">
      <c r="B15" t="str">
        <f>$B$51</f>
        <v xml:space="preserve">Interest and other investment income </v>
      </c>
      <c r="E15" s="43">
        <v>2</v>
      </c>
      <c r="G15" t="str">
        <f>$B$39</f>
        <v>Railroads, utilities and energy</v>
      </c>
      <c r="J15" s="52">
        <v>2026</v>
      </c>
      <c r="K15" s="57">
        <v>-0.15</v>
      </c>
      <c r="S15" t="str">
        <f>$B$39</f>
        <v>Railroads, utilities and energy</v>
      </c>
      <c r="V15" s="52">
        <v>2026</v>
      </c>
      <c r="W15" s="57">
        <v>0.15</v>
      </c>
    </row>
    <row r="16" spans="1:31" x14ac:dyDescent="0.2">
      <c r="G16" t="str">
        <f>$B$39</f>
        <v>Railroads, utilities and energy</v>
      </c>
      <c r="J16" s="52">
        <v>2031</v>
      </c>
      <c r="K16" s="57">
        <v>0.01</v>
      </c>
      <c r="M16" t="str">
        <f>$B$39</f>
        <v>Railroads, utilities and energy</v>
      </c>
      <c r="P16" s="52">
        <v>2031</v>
      </c>
      <c r="Q16" s="57">
        <v>0.02</v>
      </c>
      <c r="S16" t="str">
        <f>$B$39</f>
        <v>Railroads, utilities and energy</v>
      </c>
      <c r="V16" s="52">
        <v>2031</v>
      </c>
      <c r="W16" s="57">
        <v>0.03</v>
      </c>
    </row>
    <row r="17" spans="1:23" x14ac:dyDescent="0.2">
      <c r="B17" s="49" t="s">
        <v>140</v>
      </c>
      <c r="G17" t="str">
        <f>$B$51</f>
        <v xml:space="preserve">Interest and other investment income </v>
      </c>
      <c r="J17" s="52" t="s">
        <v>202</v>
      </c>
      <c r="K17" s="58">
        <f>Q17-1%</f>
        <v>4.9999999999999996E-2</v>
      </c>
      <c r="M17" t="str">
        <f>$B$51</f>
        <v xml:space="preserve">Interest and other investment income </v>
      </c>
      <c r="P17" s="52" t="s">
        <v>202</v>
      </c>
      <c r="Q17" s="57">
        <v>0.06</v>
      </c>
      <c r="S17" t="str">
        <f>$B$51</f>
        <v xml:space="preserve">Interest and other investment income </v>
      </c>
      <c r="V17" s="52" t="s">
        <v>202</v>
      </c>
      <c r="W17" s="58">
        <f>Q17+1%</f>
        <v>6.9999999999999993E-2</v>
      </c>
    </row>
    <row r="18" spans="1:23" x14ac:dyDescent="0.2">
      <c r="B18" t="str">
        <f>$B$33</f>
        <v>Insurance &amp; Other</v>
      </c>
      <c r="E18" s="43">
        <v>2</v>
      </c>
    </row>
    <row r="19" spans="1:23" x14ac:dyDescent="0.2">
      <c r="B19" t="str">
        <f>$B$39</f>
        <v>Railroads, utilities and energy</v>
      </c>
      <c r="E19" s="43">
        <v>2</v>
      </c>
      <c r="G19" s="49" t="s">
        <v>140</v>
      </c>
      <c r="J19" s="50" t="s">
        <v>138</v>
      </c>
      <c r="K19" s="50" t="s">
        <v>139</v>
      </c>
      <c r="M19" s="49" t="s">
        <v>140</v>
      </c>
      <c r="P19" s="50" t="s">
        <v>138</v>
      </c>
      <c r="Q19" s="50" t="s">
        <v>139</v>
      </c>
      <c r="S19" s="49" t="s">
        <v>140</v>
      </c>
      <c r="V19" s="50" t="s">
        <v>138</v>
      </c>
      <c r="W19" s="50" t="s">
        <v>139</v>
      </c>
    </row>
    <row r="20" spans="1:23" x14ac:dyDescent="0.2">
      <c r="G20" t="str">
        <f>$B$33</f>
        <v>Insurance &amp; Other</v>
      </c>
      <c r="J20" s="52">
        <v>2026</v>
      </c>
      <c r="K20" s="57">
        <v>0.92</v>
      </c>
      <c r="M20" t="str">
        <f>$B$33</f>
        <v>Insurance &amp; Other</v>
      </c>
      <c r="P20" s="52">
        <v>2026</v>
      </c>
      <c r="Q20" s="58">
        <f>AVERAGE(K63:N63,I63,E63:G63)</f>
        <v>0.95101968588697627</v>
      </c>
      <c r="S20" t="str">
        <f>$B$33</f>
        <v>Insurance &amp; Other</v>
      </c>
      <c r="V20" s="52">
        <v>2026</v>
      </c>
      <c r="W20" s="57">
        <v>0.89</v>
      </c>
    </row>
    <row r="21" spans="1:23" x14ac:dyDescent="0.2">
      <c r="G21" t="str">
        <f>$B$33</f>
        <v>Insurance &amp; Other</v>
      </c>
      <c r="J21" s="52" t="s">
        <v>155</v>
      </c>
      <c r="K21" s="58">
        <f>Q21+1.5%</f>
        <v>0.96499999999999997</v>
      </c>
      <c r="M21" t="str">
        <f>$B$33</f>
        <v>Insurance &amp; Other</v>
      </c>
      <c r="P21" s="52" t="s">
        <v>155</v>
      </c>
      <c r="Q21" s="57">
        <v>0.95</v>
      </c>
      <c r="S21" t="str">
        <f>$B$33</f>
        <v>Insurance &amp; Other</v>
      </c>
      <c r="V21" s="52" t="s">
        <v>155</v>
      </c>
      <c r="W21" s="58">
        <f>Q21-1.5%</f>
        <v>0.93499999999999994</v>
      </c>
    </row>
    <row r="22" spans="1:23" x14ac:dyDescent="0.2">
      <c r="G22" t="str">
        <f>$B$39</f>
        <v>Railroads, utilities and energy</v>
      </c>
      <c r="J22" s="52">
        <v>2026</v>
      </c>
      <c r="K22" s="58">
        <f>Q22+1.5%</f>
        <v>0.83280390577063612</v>
      </c>
      <c r="M22" t="str">
        <f>$B$39</f>
        <v>Railroads, utilities and energy</v>
      </c>
      <c r="P22" s="52">
        <v>2026</v>
      </c>
      <c r="Q22" s="58">
        <f>AVERAGE(K69:N69)</f>
        <v>0.81780390577063611</v>
      </c>
      <c r="S22" t="str">
        <f>$B$39</f>
        <v>Railroads, utilities and energy</v>
      </c>
      <c r="V22" s="52">
        <v>2026</v>
      </c>
      <c r="W22" s="58">
        <f>Q22-1.5%</f>
        <v>0.80280390577063609</v>
      </c>
    </row>
    <row r="23" spans="1:23" x14ac:dyDescent="0.2">
      <c r="G23" t="str">
        <f>$B$39</f>
        <v>Railroads, utilities and energy</v>
      </c>
      <c r="J23" s="52" t="s">
        <v>155</v>
      </c>
      <c r="K23" s="58">
        <f>Q23+2%</f>
        <v>0.81500000000000006</v>
      </c>
      <c r="M23" t="str">
        <f>$B$39</f>
        <v>Railroads, utilities and energy</v>
      </c>
      <c r="P23" s="52">
        <v>2031</v>
      </c>
      <c r="Q23" s="57">
        <v>0.79500000000000004</v>
      </c>
      <c r="S23" t="str">
        <f>$B$39</f>
        <v>Railroads, utilities and energy</v>
      </c>
      <c r="V23" s="52">
        <v>2031</v>
      </c>
      <c r="W23" s="58">
        <f>Q23-2%</f>
        <v>0.77500000000000002</v>
      </c>
    </row>
    <row r="24" spans="1:23" x14ac:dyDescent="0.2">
      <c r="B24" s="35" t="s">
        <v>132</v>
      </c>
      <c r="C24" s="35"/>
      <c r="D24" s="35"/>
      <c r="E24" s="35"/>
      <c r="F24" s="48"/>
      <c r="G24" s="48"/>
      <c r="H24" s="48"/>
      <c r="I24" s="48"/>
      <c r="J24" s="48"/>
    </row>
    <row r="25" spans="1:23" ht="5" customHeight="1" x14ac:dyDescent="0.2"/>
    <row r="26" spans="1:23" x14ac:dyDescent="0.2">
      <c r="B26" t="s">
        <v>160</v>
      </c>
      <c r="E26" s="138">
        <v>0.21</v>
      </c>
    </row>
    <row r="27" spans="1:23" x14ac:dyDescent="0.2">
      <c r="B27" t="s">
        <v>161</v>
      </c>
      <c r="E27" s="137">
        <f>WACC!I58</f>
        <v>6.0511832037507783E-2</v>
      </c>
    </row>
    <row r="28" spans="1:23" x14ac:dyDescent="0.2">
      <c r="B28" t="s">
        <v>162</v>
      </c>
      <c r="E28" s="138">
        <v>0.02</v>
      </c>
    </row>
    <row r="29" spans="1:23" x14ac:dyDescent="0.2">
      <c r="O29" s="55">
        <v>1</v>
      </c>
      <c r="P29" s="55">
        <f>O29+1</f>
        <v>2</v>
      </c>
      <c r="Q29" s="55">
        <f>P29+1</f>
        <v>3</v>
      </c>
      <c r="R29" s="55">
        <f>Q29+1</f>
        <v>4</v>
      </c>
      <c r="S29" s="55">
        <f>R29+1</f>
        <v>5</v>
      </c>
      <c r="T29" s="55">
        <f>S29+1</f>
        <v>6</v>
      </c>
    </row>
    <row r="30" spans="1:23" x14ac:dyDescent="0.2">
      <c r="E30" s="200" t="s">
        <v>285</v>
      </c>
      <c r="F30" s="201"/>
      <c r="G30" s="201"/>
      <c r="H30" s="201"/>
      <c r="I30" s="201"/>
      <c r="J30" s="201"/>
      <c r="K30" s="201"/>
      <c r="L30" s="201"/>
      <c r="M30" s="201"/>
      <c r="N30" s="202"/>
      <c r="O30" s="200" t="s">
        <v>286</v>
      </c>
      <c r="P30" s="201"/>
      <c r="Q30" s="201"/>
      <c r="R30" s="201"/>
      <c r="S30" s="201"/>
      <c r="T30" s="202"/>
    </row>
    <row r="31" spans="1:23" x14ac:dyDescent="0.2">
      <c r="A31" t="s">
        <v>126</v>
      </c>
      <c r="B31" s="34" t="s">
        <v>133</v>
      </c>
      <c r="C31" s="34"/>
      <c r="D31" s="34"/>
      <c r="E31" s="36">
        <f>F31-365</f>
        <v>42735</v>
      </c>
      <c r="F31" s="36">
        <f>G31-365</f>
        <v>43100</v>
      </c>
      <c r="G31" s="36">
        <f>H31-365</f>
        <v>43465</v>
      </c>
      <c r="H31" s="36">
        <f>I31-366</f>
        <v>43830</v>
      </c>
      <c r="I31" s="36">
        <f>J31-365</f>
        <v>44196</v>
      </c>
      <c r="J31" s="36">
        <v>44561</v>
      </c>
      <c r="K31" s="36">
        <f>J31+365</f>
        <v>44926</v>
      </c>
      <c r="L31" s="36">
        <f t="shared" ref="L31:T31" si="0">K31+365</f>
        <v>45291</v>
      </c>
      <c r="M31" s="36">
        <f t="shared" si="0"/>
        <v>45656</v>
      </c>
      <c r="N31" s="36">
        <f t="shared" si="0"/>
        <v>46021</v>
      </c>
      <c r="O31" s="38">
        <f t="shared" si="0"/>
        <v>46386</v>
      </c>
      <c r="P31" s="38">
        <f t="shared" si="0"/>
        <v>46751</v>
      </c>
      <c r="Q31" s="38">
        <f t="shared" si="0"/>
        <v>47116</v>
      </c>
      <c r="R31" s="38">
        <f t="shared" si="0"/>
        <v>47481</v>
      </c>
      <c r="S31" s="38">
        <f t="shared" si="0"/>
        <v>47846</v>
      </c>
      <c r="T31" s="38">
        <f t="shared" si="0"/>
        <v>48211</v>
      </c>
      <c r="U31" s="37"/>
    </row>
    <row r="32" spans="1:23" ht="5" customHeight="1" x14ac:dyDescent="0.2"/>
    <row r="33" spans="2:20" x14ac:dyDescent="0.2">
      <c r="B33" t="s">
        <v>134</v>
      </c>
      <c r="E33" s="22">
        <f>'IS - Annual'!C16</f>
        <v>165370</v>
      </c>
      <c r="F33" s="22">
        <f>'IS - Annual'!D16</f>
        <v>186560</v>
      </c>
      <c r="G33" s="22">
        <f>'IS - Annual'!E16</f>
        <v>196486</v>
      </c>
      <c r="H33" s="22">
        <f>'IS - Annual'!F16</f>
        <v>201923</v>
      </c>
      <c r="I33" s="22">
        <f>'IS - Annual'!G16</f>
        <v>195654</v>
      </c>
      <c r="J33" s="22">
        <f>'IS - Annual'!H16</f>
        <v>220509</v>
      </c>
      <c r="K33" s="22">
        <f>'IS - Annual'!I16</f>
        <v>239677</v>
      </c>
      <c r="L33" s="22">
        <f>'IS - Annual'!J16</f>
        <v>298967</v>
      </c>
      <c r="M33" s="22">
        <f>'IS - Annual'!K16</f>
        <v>299818</v>
      </c>
      <c r="N33" s="22">
        <f>'IS - Annual'!L16</f>
        <v>298460</v>
      </c>
      <c r="O33" s="22">
        <f t="shared" ref="O33:T33" si="1">N33*(1+O34)</f>
        <v>313019.09125038813</v>
      </c>
      <c r="P33" s="22">
        <f t="shared" si="1"/>
        <v>326486.60288344027</v>
      </c>
      <c r="Q33" s="22">
        <f t="shared" si="1"/>
        <v>338654.24503990432</v>
      </c>
      <c r="R33" s="22">
        <f t="shared" si="1"/>
        <v>349326.01403421583</v>
      </c>
      <c r="S33" s="22">
        <f t="shared" si="1"/>
        <v>358323.30458326807</v>
      </c>
      <c r="T33" s="22">
        <f t="shared" si="1"/>
        <v>365489.77067493345</v>
      </c>
    </row>
    <row r="34" spans="2:20" s="39" customFormat="1" x14ac:dyDescent="0.2">
      <c r="B34" s="40" t="s">
        <v>135</v>
      </c>
      <c r="E34" s="66" t="s">
        <v>159</v>
      </c>
      <c r="F34" s="53">
        <f>F33/E33-1</f>
        <v>0.12813690512184794</v>
      </c>
      <c r="G34" s="53">
        <f t="shared" ref="G34:N34" si="2">G33/F33-1</f>
        <v>5.3205403087478453E-2</v>
      </c>
      <c r="H34" s="53">
        <f t="shared" si="2"/>
        <v>2.7671182679682049E-2</v>
      </c>
      <c r="I34" s="53">
        <f t="shared" si="2"/>
        <v>-3.1046488017709706E-2</v>
      </c>
      <c r="J34" s="53">
        <f t="shared" si="2"/>
        <v>0.12703548100217721</v>
      </c>
      <c r="K34" s="53">
        <f t="shared" si="2"/>
        <v>8.6926157209002763E-2</v>
      </c>
      <c r="L34" s="53">
        <f t="shared" si="2"/>
        <v>0.24737459163791264</v>
      </c>
      <c r="M34" s="53">
        <f t="shared" si="2"/>
        <v>2.8464680048299051E-3</v>
      </c>
      <c r="N34" s="53">
        <f t="shared" si="2"/>
        <v>-4.5294145114702644E-3</v>
      </c>
      <c r="O34" s="53">
        <f t="shared" ref="O34:T34" si="3">IF(Insurance_Switch=2,O36,IF(Insurance_Switch=1,O35,O37))</f>
        <v>4.8780711821979794E-2</v>
      </c>
      <c r="P34" s="53">
        <f t="shared" si="3"/>
        <v>4.3024569457583837E-2</v>
      </c>
      <c r="Q34" s="53">
        <f t="shared" si="3"/>
        <v>3.7268427093187881E-2</v>
      </c>
      <c r="R34" s="53">
        <f t="shared" si="3"/>
        <v>3.1512284728791924E-2</v>
      </c>
      <c r="S34" s="53">
        <f t="shared" si="3"/>
        <v>2.5756142364395967E-2</v>
      </c>
      <c r="T34" s="53">
        <f t="shared" si="3"/>
        <v>0.02</v>
      </c>
    </row>
    <row r="35" spans="2:20" s="39" customFormat="1" x14ac:dyDescent="0.2">
      <c r="B35" s="40" t="s">
        <v>129</v>
      </c>
      <c r="O35" s="56">
        <f>O36*(1+$K$13)</f>
        <v>3.9024569457583841E-2</v>
      </c>
      <c r="P35" s="56">
        <f>P36*(1+$K$13)</f>
        <v>3.4419655566067069E-2</v>
      </c>
      <c r="Q35" s="56">
        <f>Q36*(1+$K$13)</f>
        <v>2.9814741674550307E-2</v>
      </c>
      <c r="R35" s="56">
        <f>R36*(1+$K$13)</f>
        <v>2.5209827783033541E-2</v>
      </c>
      <c r="S35" s="56">
        <f>S36*(1+$K$13)</f>
        <v>2.0604913891516776E-2</v>
      </c>
      <c r="T35" s="56">
        <f>K14</f>
        <v>5.0000000000000001E-3</v>
      </c>
    </row>
    <row r="36" spans="2:20" s="39" customFormat="1" x14ac:dyDescent="0.2">
      <c r="B36" s="40" t="s">
        <v>130</v>
      </c>
      <c r="K36" s="42"/>
      <c r="M36" s="59"/>
      <c r="N36" s="42"/>
      <c r="O36" s="56">
        <f>AVERAGE(M34:N34,F34:K34)</f>
        <v>4.8780711821979794E-2</v>
      </c>
      <c r="P36" s="56">
        <f>O36-(($O$36-$T$36)/($T$29-$O$29))</f>
        <v>4.3024569457583837E-2</v>
      </c>
      <c r="Q36" s="56">
        <f>P36-(($O$36-$T$36)/($T$29-$O$29))</f>
        <v>3.7268427093187881E-2</v>
      </c>
      <c r="R36" s="56">
        <f>Q36-(($O$36-$T$36)/($T$29-$O$29))</f>
        <v>3.1512284728791924E-2</v>
      </c>
      <c r="S36" s="56">
        <f>R36-(($O$36-$T$36)/($T$29-$O$29))</f>
        <v>2.5756142364395967E-2</v>
      </c>
      <c r="T36" s="56">
        <f>Q14</f>
        <v>0.02</v>
      </c>
    </row>
    <row r="37" spans="2:20" s="39" customFormat="1" x14ac:dyDescent="0.2">
      <c r="B37" s="40" t="s">
        <v>131</v>
      </c>
      <c r="O37" s="56">
        <f>O36*(1+$W$13)</f>
        <v>5.8536854186375747E-2</v>
      </c>
      <c r="P37" s="56">
        <f>P36*(1+$W$13)</f>
        <v>5.1629483349100606E-2</v>
      </c>
      <c r="Q37" s="56">
        <f>Q36*(1+$W$13)</f>
        <v>4.4722112511825458E-2</v>
      </c>
      <c r="R37" s="56">
        <f>R36*(1+$W$13)</f>
        <v>3.781474167455031E-2</v>
      </c>
      <c r="S37" s="56">
        <f>S36*(1+$W$13)</f>
        <v>3.0907370837275159E-2</v>
      </c>
      <c r="T37" s="56">
        <f>W14</f>
        <v>3.5000000000000003E-2</v>
      </c>
    </row>
    <row r="39" spans="2:20" x14ac:dyDescent="0.2">
      <c r="B39" t="s">
        <v>136</v>
      </c>
      <c r="E39" s="22">
        <f>'IS - Annual'!C27</f>
        <v>37542</v>
      </c>
      <c r="F39" s="22">
        <f>'IS - Annual'!D27</f>
        <v>39943</v>
      </c>
      <c r="G39" s="22">
        <f>'IS - Annual'!E27</f>
        <v>43673</v>
      </c>
      <c r="H39" s="22">
        <f>'IS - Annual'!F27</f>
        <v>43453</v>
      </c>
      <c r="I39" s="22">
        <f>'IS - Annual'!G27</f>
        <v>41764</v>
      </c>
      <c r="J39" s="22">
        <f>'IS - Annual'!H27</f>
        <v>48120</v>
      </c>
      <c r="K39" s="22">
        <f>'IS - Annual'!I27</f>
        <v>52149</v>
      </c>
      <c r="L39" s="22">
        <f>'IS - Annual'!J27</f>
        <v>49751</v>
      </c>
      <c r="M39" s="22">
        <f>'IS - Annual'!K27</f>
        <v>49790</v>
      </c>
      <c r="N39" s="22">
        <f>'IS - Annual'!L27</f>
        <v>49723</v>
      </c>
      <c r="O39" s="22">
        <f t="shared" ref="O39:T39" si="4">N39*(1+O40)</f>
        <v>51395.915875859551</v>
      </c>
      <c r="P39" s="22">
        <f t="shared" si="4"/>
        <v>52984.86005458641</v>
      </c>
      <c r="Q39" s="22">
        <f t="shared" si="4"/>
        <v>54478.335060343554</v>
      </c>
      <c r="R39" s="22">
        <f t="shared" si="4"/>
        <v>55865.2381775248</v>
      </c>
      <c r="S39" s="22">
        <f t="shared" si="4"/>
        <v>57134.995927008706</v>
      </c>
      <c r="T39" s="22">
        <f t="shared" si="4"/>
        <v>58277.695845548878</v>
      </c>
    </row>
    <row r="40" spans="2:20" s="39" customFormat="1" x14ac:dyDescent="0.2">
      <c r="B40" s="40" t="s">
        <v>135</v>
      </c>
      <c r="E40" s="66" t="s">
        <v>159</v>
      </c>
      <c r="F40" s="53">
        <f>F39/E39-1</f>
        <v>6.3955037025198447E-2</v>
      </c>
      <c r="G40" s="53">
        <f t="shared" ref="G40:N40" si="5">G39/F39-1</f>
        <v>9.3383070875998397E-2</v>
      </c>
      <c r="H40" s="53">
        <f t="shared" si="5"/>
        <v>-5.0374373182515697E-3</v>
      </c>
      <c r="I40" s="53">
        <f t="shared" si="5"/>
        <v>-3.8869583227855387E-2</v>
      </c>
      <c r="J40" s="53">
        <f t="shared" si="5"/>
        <v>0.15218848769274973</v>
      </c>
      <c r="K40" s="53">
        <f t="shared" si="5"/>
        <v>8.3728179551122217E-2</v>
      </c>
      <c r="L40" s="53">
        <f t="shared" si="5"/>
        <v>-4.5983623847053678E-2</v>
      </c>
      <c r="M40" s="53">
        <f t="shared" si="5"/>
        <v>7.8390384112880795E-4</v>
      </c>
      <c r="N40" s="53">
        <f t="shared" si="5"/>
        <v>-1.3456517372966159E-3</v>
      </c>
      <c r="O40" s="53">
        <f t="shared" ref="O40:T40" si="6">IF(Energy_switch=2,O42,IF(Energy_switch=1,O41,O43))</f>
        <v>3.364470920619337E-2</v>
      </c>
      <c r="P40" s="53">
        <f t="shared" si="6"/>
        <v>3.0915767364954695E-2</v>
      </c>
      <c r="Q40" s="53">
        <f t="shared" si="6"/>
        <v>2.8186825523716021E-2</v>
      </c>
      <c r="R40" s="53">
        <f t="shared" si="6"/>
        <v>2.5457883682477346E-2</v>
      </c>
      <c r="S40" s="53">
        <f t="shared" si="6"/>
        <v>2.2728941841238672E-2</v>
      </c>
      <c r="T40" s="53">
        <f t="shared" si="6"/>
        <v>0.02</v>
      </c>
    </row>
    <row r="41" spans="2:20" s="39" customFormat="1" x14ac:dyDescent="0.2">
      <c r="B41" s="40" t="s">
        <v>129</v>
      </c>
      <c r="O41" s="56">
        <f>O42*(1+$K$15)</f>
        <v>2.8598002825264365E-2</v>
      </c>
      <c r="P41" s="56">
        <f>P42*(1+$K$15)</f>
        <v>2.6278402260211491E-2</v>
      </c>
      <c r="Q41" s="56">
        <f>Q42*(1+$K$15)</f>
        <v>2.3958801695158616E-2</v>
      </c>
      <c r="R41" s="56">
        <f>R42*(1+$K$15)</f>
        <v>2.1639201130105742E-2</v>
      </c>
      <c r="S41" s="56">
        <f>S42*(1+$K$15)</f>
        <v>1.9319600565052872E-2</v>
      </c>
      <c r="T41" s="56">
        <f>K16</f>
        <v>0.01</v>
      </c>
    </row>
    <row r="42" spans="2:20" s="39" customFormat="1" x14ac:dyDescent="0.2">
      <c r="B42" s="40" t="s">
        <v>130</v>
      </c>
      <c r="M42" s="190"/>
      <c r="N42" s="59"/>
      <c r="O42" s="56">
        <f>AVERAGE(F40:N40)</f>
        <v>3.364470920619337E-2</v>
      </c>
      <c r="P42" s="56">
        <f>O42-(($O$42-$T$42)/($T$29-$O$29))</f>
        <v>3.0915767364954695E-2</v>
      </c>
      <c r="Q42" s="56">
        <f>P42-(($O$42-$T$42)/($T$29-$O$29))</f>
        <v>2.8186825523716021E-2</v>
      </c>
      <c r="R42" s="56">
        <f>Q42-(($O$42-$T$42)/($T$29-$O$29))</f>
        <v>2.5457883682477346E-2</v>
      </c>
      <c r="S42" s="56">
        <f>R42-(($O$42-$T$42)/($T$29-$O$29))</f>
        <v>2.2728941841238672E-2</v>
      </c>
      <c r="T42" s="56">
        <f>Q16</f>
        <v>0.02</v>
      </c>
    </row>
    <row r="43" spans="2:20" s="39" customFormat="1" x14ac:dyDescent="0.2">
      <c r="B43" s="40" t="s">
        <v>131</v>
      </c>
      <c r="O43" s="56">
        <f>O42*(1+$W$15)</f>
        <v>3.8691415587122371E-2</v>
      </c>
      <c r="P43" s="56">
        <f>P42*(1+$W$15)</f>
        <v>3.55531324696979E-2</v>
      </c>
      <c r="Q43" s="56">
        <f>Q42*(1+$W$15)</f>
        <v>3.2414849352273421E-2</v>
      </c>
      <c r="R43" s="56">
        <f>R42*(1+$W$15)</f>
        <v>2.9276566234848946E-2</v>
      </c>
      <c r="S43" s="56">
        <f>S42*(1+$W$15)</f>
        <v>2.6138283117424471E-2</v>
      </c>
      <c r="T43" s="56">
        <f>W16</f>
        <v>0.03</v>
      </c>
    </row>
    <row r="45" spans="2:20" x14ac:dyDescent="0.2">
      <c r="B45" s="143" t="s">
        <v>164</v>
      </c>
      <c r="C45" s="144"/>
      <c r="D45" s="144"/>
      <c r="E45" s="145">
        <f>E39+E33</f>
        <v>202912</v>
      </c>
      <c r="F45" s="145">
        <f t="shared" ref="F45:T45" si="7">F39+F33</f>
        <v>226503</v>
      </c>
      <c r="G45" s="145">
        <f t="shared" si="7"/>
        <v>240159</v>
      </c>
      <c r="H45" s="145">
        <f t="shared" si="7"/>
        <v>245376</v>
      </c>
      <c r="I45" s="145">
        <f t="shared" si="7"/>
        <v>237418</v>
      </c>
      <c r="J45" s="145">
        <f t="shared" si="7"/>
        <v>268629</v>
      </c>
      <c r="K45" s="145">
        <f t="shared" si="7"/>
        <v>291826</v>
      </c>
      <c r="L45" s="145">
        <f t="shared" si="7"/>
        <v>348718</v>
      </c>
      <c r="M45" s="145">
        <f t="shared" si="7"/>
        <v>349608</v>
      </c>
      <c r="N45" s="145">
        <f t="shared" si="7"/>
        <v>348183</v>
      </c>
      <c r="O45" s="145">
        <f t="shared" si="7"/>
        <v>364415.00712624768</v>
      </c>
      <c r="P45" s="145">
        <f t="shared" si="7"/>
        <v>379471.4629380267</v>
      </c>
      <c r="Q45" s="145">
        <f t="shared" si="7"/>
        <v>393132.58010024787</v>
      </c>
      <c r="R45" s="145">
        <f t="shared" si="7"/>
        <v>405191.25221174065</v>
      </c>
      <c r="S45" s="145">
        <f t="shared" si="7"/>
        <v>415458.30051027675</v>
      </c>
      <c r="T45" s="146">
        <f t="shared" si="7"/>
        <v>423767.46652048232</v>
      </c>
    </row>
    <row r="46" spans="2:20" x14ac:dyDescent="0.2">
      <c r="B46" s="151" t="s">
        <v>135</v>
      </c>
      <c r="C46" s="152"/>
      <c r="D46" s="152"/>
      <c r="E46" s="155" t="s">
        <v>159</v>
      </c>
      <c r="F46" s="153">
        <f>F45/E45-1</f>
        <v>0.11626222204699577</v>
      </c>
      <c r="G46" s="153">
        <f t="shared" ref="G46:T46" si="8">G45/F45-1</f>
        <v>6.0290592177587143E-2</v>
      </c>
      <c r="H46" s="153">
        <f t="shared" si="8"/>
        <v>2.1723108440658168E-2</v>
      </c>
      <c r="I46" s="153">
        <f t="shared" si="8"/>
        <v>-3.2431859676578023E-2</v>
      </c>
      <c r="J46" s="153">
        <f t="shared" si="8"/>
        <v>0.13146012518006223</v>
      </c>
      <c r="K46" s="153">
        <f t="shared" si="8"/>
        <v>8.6353297670765272E-2</v>
      </c>
      <c r="L46" s="153">
        <f t="shared" si="8"/>
        <v>0.19495178633843446</v>
      </c>
      <c r="M46" s="153">
        <f t="shared" si="8"/>
        <v>2.5522055070286154E-3</v>
      </c>
      <c r="N46" s="153">
        <f t="shared" si="8"/>
        <v>-4.0759936843550726E-3</v>
      </c>
      <c r="O46" s="153">
        <f t="shared" si="8"/>
        <v>4.6619183378417972E-2</v>
      </c>
      <c r="P46" s="153">
        <f t="shared" si="8"/>
        <v>4.131678311086362E-2</v>
      </c>
      <c r="Q46" s="153">
        <f t="shared" si="8"/>
        <v>3.600038078344836E-2</v>
      </c>
      <c r="R46" s="153">
        <f t="shared" si="8"/>
        <v>3.067329629210036E-2</v>
      </c>
      <c r="S46" s="153">
        <f t="shared" si="8"/>
        <v>2.533877087052927E-2</v>
      </c>
      <c r="T46" s="154">
        <f t="shared" si="8"/>
        <v>2.0000000000000018E-2</v>
      </c>
    </row>
    <row r="47" spans="2:20" x14ac:dyDescent="0.2">
      <c r="B47" s="44"/>
      <c r="C47" s="45"/>
      <c r="D47" s="45"/>
      <c r="E47" s="61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</row>
    <row r="48" spans="2:20" x14ac:dyDescent="0.2">
      <c r="B48" t="s">
        <v>199</v>
      </c>
      <c r="E48" s="22">
        <f>'Historical Equity Holding'!C9+'Historical Equity Holding'!C10+'Historical Equity Holding'!C11</f>
        <v>94351</v>
      </c>
      <c r="F48" s="22">
        <f>'Historical Equity Holding'!D9+'Historical Equity Holding'!D10+'Historical Equity Holding'!D11</f>
        <v>125328</v>
      </c>
      <c r="G48" s="22">
        <f>'Historical Equity Holding'!E9+'Historical Equity Holding'!E10+'Historical Equity Holding'!E11</f>
        <v>129153</v>
      </c>
      <c r="H48" s="22">
        <f>'Historical Equity Holding'!F9+'Historical Equity Holding'!F10+'Historical Equity Holding'!F11</f>
        <v>143658</v>
      </c>
      <c r="I48" s="22">
        <f>'Historical Equity Holding'!G9+'Historical Equity Holding'!G10+'Historical Equity Holding'!G11</f>
        <v>155424</v>
      </c>
      <c r="J48" s="22">
        <f>'Historical Equity Holding'!H9+'Historical Equity Holding'!H10+'Historical Equity Holding'!H11</f>
        <v>160288</v>
      </c>
      <c r="K48" s="22">
        <f>'Historical Equity Holding'!I9+'Historical Equity Holding'!I10+'Historical Equity Holding'!I11</f>
        <v>150162</v>
      </c>
      <c r="L48" s="22">
        <f>'Historical Equity Holding'!J9+'Historical Equity Holding'!J10+'Historical Equity Holding'!J11</f>
        <v>187645</v>
      </c>
      <c r="M48" s="22">
        <f>'Historical Equity Holding'!K9+'Historical Equity Holding'!K10+'Historical Equity Holding'!K11</f>
        <v>345969</v>
      </c>
      <c r="N48" s="22">
        <f>'Historical Equity Holding'!L9+'Historical Equity Holding'!L10+'Historical Equity Holding'!L11</f>
        <v>386969</v>
      </c>
      <c r="O48" s="22">
        <f>N48*(1+O49)</f>
        <v>406317.45</v>
      </c>
      <c r="P48" s="22">
        <f t="shared" ref="P48:T48" si="9">O48*(1+P49)</f>
        <v>426633.32250000001</v>
      </c>
      <c r="Q48" s="22">
        <f t="shared" si="9"/>
        <v>447964.98862500006</v>
      </c>
      <c r="R48" s="22">
        <f t="shared" si="9"/>
        <v>470363.23805625009</v>
      </c>
      <c r="S48" s="22">
        <f t="shared" si="9"/>
        <v>493881.39995906263</v>
      </c>
      <c r="T48" s="22">
        <f t="shared" si="9"/>
        <v>518575.46995701577</v>
      </c>
    </row>
    <row r="49" spans="1:21" x14ac:dyDescent="0.2">
      <c r="B49" s="40" t="s">
        <v>135</v>
      </c>
      <c r="C49" s="45"/>
      <c r="D49" s="45"/>
      <c r="E49" s="66" t="s">
        <v>159</v>
      </c>
      <c r="F49" s="53">
        <f>F48/E48-1</f>
        <v>0.32831660501743487</v>
      </c>
      <c r="G49" s="53">
        <f t="shared" ref="G49" si="10">G48/F48-1</f>
        <v>3.051991574109536E-2</v>
      </c>
      <c r="H49" s="53">
        <f>H48/G48-1</f>
        <v>0.11230865717404948</v>
      </c>
      <c r="I49" s="53">
        <f t="shared" ref="I49" si="11">I48/H48-1</f>
        <v>8.1902852608277898E-2</v>
      </c>
      <c r="J49" s="53">
        <f t="shared" ref="J49" si="12">J48/I48-1</f>
        <v>3.129503808935552E-2</v>
      </c>
      <c r="K49" s="53">
        <f t="shared" ref="K49" si="13">K48/J48-1</f>
        <v>-6.3173787183070429E-2</v>
      </c>
      <c r="L49" s="53">
        <f t="shared" ref="L49" si="14">L48/K48-1</f>
        <v>0.24961708022002904</v>
      </c>
      <c r="M49" s="53">
        <f t="shared" ref="M49" si="15">M48/L48-1</f>
        <v>0.84374217271976337</v>
      </c>
      <c r="N49" s="53">
        <f t="shared" ref="N49" si="16">N48/M48-1</f>
        <v>0.11850772757096739</v>
      </c>
      <c r="O49" s="53">
        <v>0.05</v>
      </c>
      <c r="P49" s="53">
        <f>O49</f>
        <v>0.05</v>
      </c>
      <c r="Q49" s="53">
        <f t="shared" ref="Q49:T49" si="17">P49</f>
        <v>0.05</v>
      </c>
      <c r="R49" s="53">
        <f t="shared" si="17"/>
        <v>0.05</v>
      </c>
      <c r="S49" s="53">
        <f t="shared" si="17"/>
        <v>0.05</v>
      </c>
      <c r="T49" s="53">
        <f t="shared" si="17"/>
        <v>0.05</v>
      </c>
    </row>
    <row r="50" spans="1:21" x14ac:dyDescent="0.2">
      <c r="B50" s="44"/>
      <c r="C50" s="45"/>
      <c r="D50" s="45"/>
      <c r="E50" s="61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</row>
    <row r="51" spans="1:21" x14ac:dyDescent="0.2">
      <c r="B51" t="s">
        <v>201</v>
      </c>
      <c r="E51" s="22">
        <f>'IS - Annual'!C15</f>
        <v>4725</v>
      </c>
      <c r="F51" s="22">
        <f>'IS - Annual'!D15</f>
        <v>5144</v>
      </c>
      <c r="G51" s="22">
        <f>'IS - Annual'!E15</f>
        <v>7678</v>
      </c>
      <c r="H51" s="22">
        <f>'IS - Annual'!F15</f>
        <v>9240</v>
      </c>
      <c r="I51" s="22">
        <f>'IS - Annual'!G15</f>
        <v>8092</v>
      </c>
      <c r="J51" s="22">
        <f>'IS - Annual'!H15</f>
        <v>7465</v>
      </c>
      <c r="K51" s="22">
        <f>'IS - Annual'!I15</f>
        <v>10263</v>
      </c>
      <c r="L51" s="22">
        <f>'IS - Annual'!J15</f>
        <v>15764</v>
      </c>
      <c r="M51" s="22">
        <f>'IS - Annual'!K15</f>
        <v>21825</v>
      </c>
      <c r="N51" s="22">
        <f>'IS - Annual'!L15</f>
        <v>23261</v>
      </c>
      <c r="O51" s="22">
        <f>O52*O48</f>
        <v>24379.046999999999</v>
      </c>
      <c r="P51" s="22">
        <f t="shared" ref="P51:T51" si="18">P52*P48</f>
        <v>25597.999349999998</v>
      </c>
      <c r="Q51" s="22">
        <f t="shared" si="18"/>
        <v>26877.899317500003</v>
      </c>
      <c r="R51" s="22">
        <f t="shared" si="18"/>
        <v>28221.794283375006</v>
      </c>
      <c r="S51" s="22">
        <f t="shared" si="18"/>
        <v>29632.883997543759</v>
      </c>
      <c r="T51" s="22">
        <f t="shared" si="18"/>
        <v>31114.528197420947</v>
      </c>
    </row>
    <row r="52" spans="1:21" x14ac:dyDescent="0.2">
      <c r="B52" s="40" t="s">
        <v>200</v>
      </c>
      <c r="E52" s="53">
        <f>E51/E48</f>
        <v>5.007896047736643E-2</v>
      </c>
      <c r="F52" s="53">
        <f t="shared" ref="F52:N52" si="19">F51/F48</f>
        <v>4.1044299757436488E-2</v>
      </c>
      <c r="G52" s="53">
        <f t="shared" si="19"/>
        <v>5.9448870719224486E-2</v>
      </c>
      <c r="H52" s="53">
        <f t="shared" si="19"/>
        <v>6.431942530175834E-2</v>
      </c>
      <c r="I52" s="53">
        <f t="shared" si="19"/>
        <v>5.2064031295038088E-2</v>
      </c>
      <c r="J52" s="53">
        <f t="shared" si="19"/>
        <v>4.6572419644639651E-2</v>
      </c>
      <c r="K52" s="53">
        <f t="shared" si="19"/>
        <v>6.8346186118991487E-2</v>
      </c>
      <c r="L52" s="53">
        <f t="shared" si="19"/>
        <v>8.4009699165978308E-2</v>
      </c>
      <c r="M52" s="53">
        <f t="shared" si="19"/>
        <v>6.3083686688691756E-2</v>
      </c>
      <c r="N52" s="53">
        <f t="shared" si="19"/>
        <v>6.0110758226111137E-2</v>
      </c>
      <c r="O52" s="53">
        <f t="shared" ref="O52:T52" si="20">IF(Interest_switch=2,O54,IF(Interest_switch=1,O53,O55))</f>
        <v>0.06</v>
      </c>
      <c r="P52" s="53">
        <f t="shared" si="20"/>
        <v>0.06</v>
      </c>
      <c r="Q52" s="53">
        <f t="shared" si="20"/>
        <v>0.06</v>
      </c>
      <c r="R52" s="53">
        <f t="shared" si="20"/>
        <v>0.06</v>
      </c>
      <c r="S52" s="53">
        <f t="shared" si="20"/>
        <v>0.06</v>
      </c>
      <c r="T52" s="53">
        <f t="shared" si="20"/>
        <v>0.06</v>
      </c>
    </row>
    <row r="53" spans="1:21" x14ac:dyDescent="0.2">
      <c r="B53" s="40" t="s">
        <v>129</v>
      </c>
      <c r="O53" s="56">
        <f>K17</f>
        <v>4.9999999999999996E-2</v>
      </c>
      <c r="P53" s="56">
        <f>O53</f>
        <v>4.9999999999999996E-2</v>
      </c>
      <c r="Q53" s="56">
        <f t="shared" ref="Q53:T53" si="21">P53</f>
        <v>4.9999999999999996E-2</v>
      </c>
      <c r="R53" s="56">
        <f t="shared" si="21"/>
        <v>4.9999999999999996E-2</v>
      </c>
      <c r="S53" s="56">
        <f t="shared" si="21"/>
        <v>4.9999999999999996E-2</v>
      </c>
      <c r="T53" s="56">
        <f t="shared" si="21"/>
        <v>4.9999999999999996E-2</v>
      </c>
    </row>
    <row r="54" spans="1:21" x14ac:dyDescent="0.2">
      <c r="B54" s="40" t="s">
        <v>130</v>
      </c>
      <c r="K54" s="47"/>
      <c r="L54" s="189"/>
      <c r="M54" s="47"/>
      <c r="N54" s="69"/>
      <c r="O54" s="56">
        <f>Q17</f>
        <v>0.06</v>
      </c>
      <c r="P54" s="56">
        <f>O54</f>
        <v>0.06</v>
      </c>
      <c r="Q54" s="56">
        <f t="shared" ref="Q54:T54" si="22">P54</f>
        <v>0.06</v>
      </c>
      <c r="R54" s="56">
        <f t="shared" si="22"/>
        <v>0.06</v>
      </c>
      <c r="S54" s="56">
        <f t="shared" si="22"/>
        <v>0.06</v>
      </c>
      <c r="T54" s="56">
        <f t="shared" si="22"/>
        <v>0.06</v>
      </c>
    </row>
    <row r="55" spans="1:21" x14ac:dyDescent="0.2">
      <c r="B55" s="40" t="s">
        <v>131</v>
      </c>
      <c r="O55" s="56">
        <f>W17</f>
        <v>6.9999999999999993E-2</v>
      </c>
      <c r="P55" s="56">
        <f>O55</f>
        <v>6.9999999999999993E-2</v>
      </c>
      <c r="Q55" s="56">
        <f t="shared" ref="Q55:T55" si="23">P55</f>
        <v>6.9999999999999993E-2</v>
      </c>
      <c r="R55" s="56">
        <f t="shared" si="23"/>
        <v>6.9999999999999993E-2</v>
      </c>
      <c r="S55" s="56">
        <f t="shared" si="23"/>
        <v>6.9999999999999993E-2</v>
      </c>
      <c r="T55" s="56">
        <f t="shared" si="23"/>
        <v>6.9999999999999993E-2</v>
      </c>
    </row>
    <row r="57" spans="1:21" s="24" customFormat="1" x14ac:dyDescent="0.2">
      <c r="B57" s="143" t="s">
        <v>165</v>
      </c>
      <c r="C57" s="144"/>
      <c r="D57" s="144"/>
      <c r="E57" s="145">
        <f>E39+E33+E51</f>
        <v>207637</v>
      </c>
      <c r="F57" s="145">
        <f t="shared" ref="F57:T57" si="24">F39+F33+F51</f>
        <v>231647</v>
      </c>
      <c r="G57" s="145">
        <f t="shared" si="24"/>
        <v>247837</v>
      </c>
      <c r="H57" s="145">
        <f t="shared" si="24"/>
        <v>254616</v>
      </c>
      <c r="I57" s="145">
        <f t="shared" si="24"/>
        <v>245510</v>
      </c>
      <c r="J57" s="145">
        <f t="shared" si="24"/>
        <v>276094</v>
      </c>
      <c r="K57" s="145">
        <f t="shared" si="24"/>
        <v>302089</v>
      </c>
      <c r="L57" s="145">
        <f t="shared" si="24"/>
        <v>364482</v>
      </c>
      <c r="M57" s="145">
        <f t="shared" si="24"/>
        <v>371433</v>
      </c>
      <c r="N57" s="145">
        <f t="shared" si="24"/>
        <v>371444</v>
      </c>
      <c r="O57" s="145">
        <f t="shared" si="24"/>
        <v>388794.05412624771</v>
      </c>
      <c r="P57" s="145">
        <f t="shared" si="24"/>
        <v>405069.4622880267</v>
      </c>
      <c r="Q57" s="145">
        <f t="shared" si="24"/>
        <v>420010.47941774788</v>
      </c>
      <c r="R57" s="145">
        <f t="shared" si="24"/>
        <v>433413.04649511568</v>
      </c>
      <c r="S57" s="145">
        <f t="shared" si="24"/>
        <v>445091.18450782052</v>
      </c>
      <c r="T57" s="146">
        <f t="shared" si="24"/>
        <v>454881.99471790326</v>
      </c>
    </row>
    <row r="58" spans="1:21" s="45" customFormat="1" x14ac:dyDescent="0.2">
      <c r="B58" s="151" t="s">
        <v>135</v>
      </c>
      <c r="C58" s="152"/>
      <c r="D58" s="152"/>
      <c r="E58" s="155" t="s">
        <v>159</v>
      </c>
      <c r="F58" s="153">
        <f>F57/E57-1</f>
        <v>0.11563449674191006</v>
      </c>
      <c r="G58" s="153">
        <f t="shared" ref="G58:T58" si="25">G57/F57-1</f>
        <v>6.9890825264302903E-2</v>
      </c>
      <c r="H58" s="153">
        <f t="shared" si="25"/>
        <v>2.735265517255292E-2</v>
      </c>
      <c r="I58" s="153">
        <f t="shared" si="25"/>
        <v>-3.5763659785716495E-2</v>
      </c>
      <c r="J58" s="153">
        <f t="shared" si="25"/>
        <v>0.12457333713494356</v>
      </c>
      <c r="K58" s="153">
        <f t="shared" si="25"/>
        <v>9.4152716103935719E-2</v>
      </c>
      <c r="L58" s="153">
        <f t="shared" si="25"/>
        <v>0.20653847045076112</v>
      </c>
      <c r="M58" s="153">
        <f t="shared" si="25"/>
        <v>1.9070900620606679E-2</v>
      </c>
      <c r="N58" s="153">
        <f t="shared" si="25"/>
        <v>2.9615031513108292E-5</v>
      </c>
      <c r="O58" s="153">
        <f t="shared" si="25"/>
        <v>4.6709743935149595E-2</v>
      </c>
      <c r="P58" s="153">
        <f t="shared" si="25"/>
        <v>4.186125787945838E-2</v>
      </c>
      <c r="Q58" s="153">
        <f t="shared" si="25"/>
        <v>3.6885074094026082E-2</v>
      </c>
      <c r="R58" s="153">
        <f t="shared" si="25"/>
        <v>3.191007780555255E-2</v>
      </c>
      <c r="S58" s="153">
        <f t="shared" si="25"/>
        <v>2.694459270929328E-2</v>
      </c>
      <c r="T58" s="154">
        <f t="shared" si="25"/>
        <v>2.1997313249215056E-2</v>
      </c>
    </row>
    <row r="59" spans="1:21" x14ac:dyDescent="0.2">
      <c r="O59" s="47"/>
    </row>
    <row r="60" spans="1:21" x14ac:dyDescent="0.2">
      <c r="A60" t="s">
        <v>126</v>
      </c>
      <c r="B60" s="34" t="s">
        <v>141</v>
      </c>
      <c r="C60" s="34"/>
      <c r="D60" s="34"/>
      <c r="E60" s="36">
        <f>F60-365</f>
        <v>42735</v>
      </c>
      <c r="F60" s="36">
        <f>G60-365</f>
        <v>43100</v>
      </c>
      <c r="G60" s="36">
        <f>H60-365</f>
        <v>43465</v>
      </c>
      <c r="H60" s="36">
        <f>I60-366</f>
        <v>43830</v>
      </c>
      <c r="I60" s="36">
        <f>J60-365</f>
        <v>44196</v>
      </c>
      <c r="J60" s="36">
        <v>44561</v>
      </c>
      <c r="K60" s="36">
        <f>J60+365</f>
        <v>44926</v>
      </c>
      <c r="L60" s="36">
        <f t="shared" ref="L60:T60" si="26">K60+365</f>
        <v>45291</v>
      </c>
      <c r="M60" s="36">
        <f t="shared" si="26"/>
        <v>45656</v>
      </c>
      <c r="N60" s="36">
        <f t="shared" si="26"/>
        <v>46021</v>
      </c>
      <c r="O60" s="38">
        <f t="shared" si="26"/>
        <v>46386</v>
      </c>
      <c r="P60" s="38">
        <f t="shared" si="26"/>
        <v>46751</v>
      </c>
      <c r="Q60" s="38">
        <f t="shared" si="26"/>
        <v>47116</v>
      </c>
      <c r="R60" s="38">
        <f t="shared" si="26"/>
        <v>47481</v>
      </c>
      <c r="S60" s="38">
        <f t="shared" si="26"/>
        <v>47846</v>
      </c>
      <c r="T60" s="38">
        <f t="shared" si="26"/>
        <v>48211</v>
      </c>
      <c r="U60" s="37"/>
    </row>
    <row r="61" spans="1:21" ht="5" customHeight="1" x14ac:dyDescent="0.2"/>
    <row r="62" spans="1:21" x14ac:dyDescent="0.2">
      <c r="B62" t="s">
        <v>134</v>
      </c>
      <c r="E62" s="22">
        <f>-'IS - Annual'!C36</f>
        <v>156427</v>
      </c>
      <c r="F62" s="22">
        <f>-'IS - Annual'!D36</f>
        <v>183559</v>
      </c>
      <c r="G62" s="22">
        <f>-'IS - Annual'!E36</f>
        <v>184815</v>
      </c>
      <c r="H62" s="22">
        <f>-'IS - Annual'!F36</f>
        <v>192064</v>
      </c>
      <c r="I62" s="22">
        <f>-'IS - Annual'!G36</f>
        <v>198757</v>
      </c>
      <c r="J62" s="22">
        <f>-'IS - Annual'!H36</f>
        <v>206808</v>
      </c>
      <c r="K62" s="22">
        <f>-'IS - Annual'!I36</f>
        <v>225302</v>
      </c>
      <c r="L62" s="22">
        <f>-'IS - Annual'!J36</f>
        <v>278933</v>
      </c>
      <c r="M62" s="22">
        <f>-'IS - Annual'!K36</f>
        <v>274799</v>
      </c>
      <c r="N62" s="22">
        <f>-'IS - Annual'!L36</f>
        <v>278253</v>
      </c>
      <c r="O62" s="22">
        <f t="shared" ref="O62:T62" si="27">O63*O33</f>
        <v>297687.31783757085</v>
      </c>
      <c r="P62" s="22">
        <f t="shared" si="27"/>
        <v>310162.27273926826</v>
      </c>
      <c r="Q62" s="22">
        <f t="shared" si="27"/>
        <v>321721.53278790909</v>
      </c>
      <c r="R62" s="22">
        <f t="shared" si="27"/>
        <v>331859.71333250502</v>
      </c>
      <c r="S62" s="22">
        <f t="shared" si="27"/>
        <v>340407.13935410464</v>
      </c>
      <c r="T62" s="22">
        <f t="shared" si="27"/>
        <v>347215.28214118676</v>
      </c>
    </row>
    <row r="63" spans="1:21" s="39" customFormat="1" x14ac:dyDescent="0.2">
      <c r="B63" s="40" t="s">
        <v>142</v>
      </c>
      <c r="E63" s="53">
        <f>E62/E33</f>
        <v>0.94592126746084537</v>
      </c>
      <c r="F63" s="53">
        <f t="shared" ref="F63:N63" si="28">F62/F33</f>
        <v>0.98391402229845626</v>
      </c>
      <c r="G63" s="53">
        <f t="shared" si="28"/>
        <v>0.94060136600063105</v>
      </c>
      <c r="H63" s="53">
        <f t="shared" si="28"/>
        <v>0.95117445759026953</v>
      </c>
      <c r="I63" s="53">
        <f t="shared" si="28"/>
        <v>1.0158596297545668</v>
      </c>
      <c r="J63" s="53">
        <f t="shared" si="28"/>
        <v>0.93786648164020514</v>
      </c>
      <c r="K63" s="53">
        <f t="shared" si="28"/>
        <v>0.94002344822406825</v>
      </c>
      <c r="L63" s="53">
        <f t="shared" si="28"/>
        <v>0.93298925968417923</v>
      </c>
      <c r="M63" s="53">
        <f t="shared" si="28"/>
        <v>0.91655270864324356</v>
      </c>
      <c r="N63" s="53">
        <f t="shared" si="28"/>
        <v>0.93229578502981969</v>
      </c>
      <c r="O63" s="53">
        <f t="shared" ref="O63:T63" si="29">IF(Insur_cost=2,O65,IF(Insur_cost=1,O64,O66))</f>
        <v>0.95101968588697627</v>
      </c>
      <c r="P63" s="53">
        <f t="shared" si="29"/>
        <v>0.95</v>
      </c>
      <c r="Q63" s="53">
        <f t="shared" si="29"/>
        <v>0.95</v>
      </c>
      <c r="R63" s="53">
        <f t="shared" si="29"/>
        <v>0.95</v>
      </c>
      <c r="S63" s="53">
        <f t="shared" si="29"/>
        <v>0.95</v>
      </c>
      <c r="T63" s="53">
        <f t="shared" si="29"/>
        <v>0.95</v>
      </c>
    </row>
    <row r="64" spans="1:21" s="39" customFormat="1" x14ac:dyDescent="0.2">
      <c r="B64" s="40" t="s">
        <v>129</v>
      </c>
      <c r="O64" s="56">
        <f>K20</f>
        <v>0.92</v>
      </c>
      <c r="P64" s="56">
        <f>$K$21</f>
        <v>0.96499999999999997</v>
      </c>
      <c r="Q64" s="56">
        <f>$K$21</f>
        <v>0.96499999999999997</v>
      </c>
      <c r="R64" s="56">
        <f>$K$21</f>
        <v>0.96499999999999997</v>
      </c>
      <c r="S64" s="56">
        <f>$K$21</f>
        <v>0.96499999999999997</v>
      </c>
      <c r="T64" s="56">
        <f>$K$21</f>
        <v>0.96499999999999997</v>
      </c>
    </row>
    <row r="65" spans="1:21" s="39" customFormat="1" x14ac:dyDescent="0.2">
      <c r="B65" s="40" t="s">
        <v>130</v>
      </c>
      <c r="H65" s="59"/>
      <c r="L65" s="59"/>
      <c r="N65" s="59"/>
      <c r="O65" s="56">
        <f>Q20</f>
        <v>0.95101968588697627</v>
      </c>
      <c r="P65" s="56">
        <f>$Q$21</f>
        <v>0.95</v>
      </c>
      <c r="Q65" s="56">
        <f>$Q$21</f>
        <v>0.95</v>
      </c>
      <c r="R65" s="56">
        <f>$Q$21</f>
        <v>0.95</v>
      </c>
      <c r="S65" s="56">
        <f>$Q$21</f>
        <v>0.95</v>
      </c>
      <c r="T65" s="56">
        <f>$Q$21</f>
        <v>0.95</v>
      </c>
    </row>
    <row r="66" spans="1:21" s="39" customFormat="1" x14ac:dyDescent="0.2">
      <c r="B66" s="40" t="s">
        <v>131</v>
      </c>
      <c r="M66" s="59"/>
      <c r="O66" s="56">
        <f>W20</f>
        <v>0.89</v>
      </c>
      <c r="P66" s="56">
        <f>$W$21</f>
        <v>0.93499999999999994</v>
      </c>
      <c r="Q66" s="56">
        <f>$W$21</f>
        <v>0.93499999999999994</v>
      </c>
      <c r="R66" s="56">
        <f>$W$21</f>
        <v>0.93499999999999994</v>
      </c>
      <c r="S66" s="56">
        <f>$W$21</f>
        <v>0.93499999999999994</v>
      </c>
      <c r="T66" s="56">
        <f>$W$21</f>
        <v>0.93499999999999994</v>
      </c>
    </row>
    <row r="68" spans="1:21" x14ac:dyDescent="0.2">
      <c r="B68" t="s">
        <v>136</v>
      </c>
      <c r="E68" s="22">
        <f>-'IS - Annual'!C46</f>
        <v>28836</v>
      </c>
      <c r="F68" s="22">
        <f>-'IS - Annual'!D46</f>
        <v>31288</v>
      </c>
      <c r="G68" s="22">
        <f>-'IS - Annual'!E46</f>
        <v>34399</v>
      </c>
      <c r="H68" s="22">
        <f>-'IS - Annual'!F46</f>
        <v>33639</v>
      </c>
      <c r="I68" s="22">
        <f>-'IS - Annual'!G46</f>
        <v>32532</v>
      </c>
      <c r="J68" s="22">
        <f>-'IS - Annual'!H46</f>
        <v>37137</v>
      </c>
      <c r="K68" s="22">
        <f>-'IS - Annual'!I46</f>
        <v>41327</v>
      </c>
      <c r="L68" s="22">
        <f>-'IS - Annual'!J46</f>
        <v>42211</v>
      </c>
      <c r="M68" s="22">
        <f>-'IS - Annual'!K46</f>
        <v>40898</v>
      </c>
      <c r="N68" s="22">
        <f>-'IS - Annual'!L46</f>
        <v>40220</v>
      </c>
      <c r="O68" s="22">
        <f t="shared" ref="O68:T68" si="30">O69*O39</f>
        <v>42031.780743936986</v>
      </c>
      <c r="P68" s="22">
        <f t="shared" si="30"/>
        <v>43089.5731481603</v>
      </c>
      <c r="Q68" s="22">
        <f t="shared" si="30"/>
        <v>44055.667664527464</v>
      </c>
      <c r="R68" s="22">
        <f t="shared" si="30"/>
        <v>44922.442602033989</v>
      </c>
      <c r="S68" s="22">
        <f t="shared" si="30"/>
        <v>45682.901974636967</v>
      </c>
      <c r="T68" s="22">
        <f t="shared" si="30"/>
        <v>46330.768197211364</v>
      </c>
    </row>
    <row r="69" spans="1:21" s="39" customFormat="1" x14ac:dyDescent="0.2">
      <c r="B69" s="40" t="s">
        <v>142</v>
      </c>
      <c r="E69" s="53">
        <f>E68/E39</f>
        <v>0.76809972830429918</v>
      </c>
      <c r="F69" s="53">
        <f t="shared" ref="F69:N69" si="31">F68/F39</f>
        <v>0.7833162256215106</v>
      </c>
      <c r="G69" s="53">
        <f t="shared" si="31"/>
        <v>0.78764911959334138</v>
      </c>
      <c r="H69" s="53">
        <f t="shared" si="31"/>
        <v>0.77414677927876097</v>
      </c>
      <c r="I69" s="53">
        <f t="shared" si="31"/>
        <v>0.77894837659228044</v>
      </c>
      <c r="J69" s="53">
        <f t="shared" si="31"/>
        <v>0.77175810473815465</v>
      </c>
      <c r="K69" s="53">
        <f t="shared" si="31"/>
        <v>0.79247924217147026</v>
      </c>
      <c r="L69" s="53">
        <f t="shared" si="31"/>
        <v>0.84844525738176113</v>
      </c>
      <c r="M69" s="53">
        <f t="shared" si="31"/>
        <v>0.82140992167101823</v>
      </c>
      <c r="N69" s="53">
        <f t="shared" si="31"/>
        <v>0.80888120185829493</v>
      </c>
      <c r="O69" s="53">
        <f t="shared" ref="O69:T69" si="32">IF(Energy_cost=2,O71,IF(Energy_cost=1,O70,O72))</f>
        <v>0.81780390577063611</v>
      </c>
      <c r="P69" s="53">
        <f t="shared" si="32"/>
        <v>0.81324312461650894</v>
      </c>
      <c r="Q69" s="53">
        <f t="shared" si="32"/>
        <v>0.80868234346238177</v>
      </c>
      <c r="R69" s="53">
        <f t="shared" si="32"/>
        <v>0.8041215623082546</v>
      </c>
      <c r="S69" s="53">
        <f t="shared" si="32"/>
        <v>0.79956078115412743</v>
      </c>
      <c r="T69" s="53">
        <f t="shared" si="32"/>
        <v>0.79500000000000004</v>
      </c>
    </row>
    <row r="70" spans="1:21" s="39" customFormat="1" x14ac:dyDescent="0.2">
      <c r="B70" s="40" t="s">
        <v>129</v>
      </c>
      <c r="O70" s="56">
        <f>K22</f>
        <v>0.83280390577063612</v>
      </c>
      <c r="P70" s="56">
        <f>O70-(($O$70-$T$70)/($T$29-$O$29))</f>
        <v>0.82924312461650895</v>
      </c>
      <c r="Q70" s="56">
        <f>P70-(($O$70-$T$70)/($T$29-$O$29))</f>
        <v>0.82568234346238178</v>
      </c>
      <c r="R70" s="56">
        <f>Q70-(($O$70-$T$70)/($T$29-$O$29))</f>
        <v>0.82212156230825462</v>
      </c>
      <c r="S70" s="56">
        <f>R70-(($O$70-$T$70)/($T$29-$O$29))</f>
        <v>0.81856078115412745</v>
      </c>
      <c r="T70" s="56">
        <f>K23</f>
        <v>0.81500000000000006</v>
      </c>
    </row>
    <row r="71" spans="1:21" s="39" customFormat="1" x14ac:dyDescent="0.2">
      <c r="B71" s="40" t="s">
        <v>130</v>
      </c>
      <c r="M71" s="60"/>
      <c r="N71" s="60"/>
      <c r="O71" s="56">
        <f>Q22</f>
        <v>0.81780390577063611</v>
      </c>
      <c r="P71" s="56">
        <f>O71-(($O$71-$T$71)/($T$29-$O$29))</f>
        <v>0.81324312461650894</v>
      </c>
      <c r="Q71" s="56">
        <f>P71-(($O$71-$T$71)/($T$29-$O$29))</f>
        <v>0.80868234346238177</v>
      </c>
      <c r="R71" s="56">
        <f>Q71-(($O$71-$T$71)/($T$29-$O$29))</f>
        <v>0.8041215623082546</v>
      </c>
      <c r="S71" s="56">
        <f>R71-(($O$71-$T$71)/($T$29-$O$29))</f>
        <v>0.79956078115412743</v>
      </c>
      <c r="T71" s="56">
        <f>Q23</f>
        <v>0.79500000000000004</v>
      </c>
    </row>
    <row r="72" spans="1:21" s="39" customFormat="1" x14ac:dyDescent="0.2">
      <c r="B72" s="40" t="s">
        <v>131</v>
      </c>
      <c r="O72" s="56">
        <f>W22</f>
        <v>0.80280390577063609</v>
      </c>
      <c r="P72" s="56">
        <f>O72-(($O$72-$T$72)/($T$29-$O$29))</f>
        <v>0.79724312461650892</v>
      </c>
      <c r="Q72" s="56">
        <f>P72-(($O$72-$T$72)/($T$29-$O$29))</f>
        <v>0.79168234346238175</v>
      </c>
      <c r="R72" s="56">
        <f>Q72-(($O$72-$T$72)/($T$29-$O$29))</f>
        <v>0.78612156230825458</v>
      </c>
      <c r="S72" s="56">
        <f>R72-(($O$72-$T$72)/($T$29-$O$29))</f>
        <v>0.78056078115412741</v>
      </c>
      <c r="T72" s="56">
        <f>W23</f>
        <v>0.77500000000000002</v>
      </c>
    </row>
    <row r="74" spans="1:21" s="24" customFormat="1" x14ac:dyDescent="0.2">
      <c r="B74" s="24" t="s">
        <v>143</v>
      </c>
      <c r="E74" s="26">
        <f>E68+E62</f>
        <v>185263</v>
      </c>
      <c r="F74" s="26">
        <f t="shared" ref="F74:N74" si="33">F68+F62</f>
        <v>214847</v>
      </c>
      <c r="G74" s="26">
        <f t="shared" si="33"/>
        <v>219214</v>
      </c>
      <c r="H74" s="26">
        <f t="shared" si="33"/>
        <v>225703</v>
      </c>
      <c r="I74" s="26">
        <f t="shared" si="33"/>
        <v>231289</v>
      </c>
      <c r="J74" s="26">
        <f t="shared" si="33"/>
        <v>243945</v>
      </c>
      <c r="K74" s="26">
        <f t="shared" si="33"/>
        <v>266629</v>
      </c>
      <c r="L74" s="26">
        <f t="shared" si="33"/>
        <v>321144</v>
      </c>
      <c r="M74" s="26">
        <f t="shared" si="33"/>
        <v>315697</v>
      </c>
      <c r="N74" s="26">
        <f t="shared" si="33"/>
        <v>318473</v>
      </c>
      <c r="O74" s="26">
        <f t="shared" ref="O74:T74" si="34">O68+O62</f>
        <v>339719.09858150786</v>
      </c>
      <c r="P74" s="26">
        <f t="shared" si="34"/>
        <v>353251.84588742856</v>
      </c>
      <c r="Q74" s="26">
        <f t="shared" si="34"/>
        <v>365777.20045243658</v>
      </c>
      <c r="R74" s="26">
        <f t="shared" si="34"/>
        <v>376782.15593453904</v>
      </c>
      <c r="S74" s="26">
        <f t="shared" si="34"/>
        <v>386090.04132874159</v>
      </c>
      <c r="T74" s="26">
        <f t="shared" si="34"/>
        <v>393546.05033839814</v>
      </c>
    </row>
    <row r="75" spans="1:21" s="45" customFormat="1" x14ac:dyDescent="0.2">
      <c r="B75" s="45" t="s">
        <v>142</v>
      </c>
      <c r="E75" s="54">
        <f>E74/E45</f>
        <v>0.9130214082952216</v>
      </c>
      <c r="F75" s="54">
        <f t="shared" ref="F75:T75" si="35">F74/F45</f>
        <v>0.94853931294508242</v>
      </c>
      <c r="G75" s="54">
        <f t="shared" si="35"/>
        <v>0.91278694531539517</v>
      </c>
      <c r="H75" s="54">
        <f t="shared" si="35"/>
        <v>0.91982508476786651</v>
      </c>
      <c r="I75" s="54">
        <f t="shared" si="35"/>
        <v>0.97418477116309632</v>
      </c>
      <c r="J75" s="54">
        <f t="shared" si="35"/>
        <v>0.9081111868041053</v>
      </c>
      <c r="K75" s="54">
        <f t="shared" si="35"/>
        <v>0.91365745341402071</v>
      </c>
      <c r="L75" s="54">
        <f t="shared" si="35"/>
        <v>0.9209275116283071</v>
      </c>
      <c r="M75" s="54">
        <f t="shared" si="35"/>
        <v>0.90300279169813047</v>
      </c>
      <c r="N75" s="54">
        <f t="shared" si="35"/>
        <v>0.91467130790417683</v>
      </c>
      <c r="O75" s="54">
        <f t="shared" si="35"/>
        <v>0.93223136242524673</v>
      </c>
      <c r="P75" s="54">
        <f t="shared" si="35"/>
        <v>0.93090490429083939</v>
      </c>
      <c r="Q75" s="54">
        <f t="shared" si="35"/>
        <v>0.93041691014050343</v>
      </c>
      <c r="R75" s="54">
        <f t="shared" si="35"/>
        <v>0.92988719247483687</v>
      </c>
      <c r="S75" s="54">
        <f t="shared" si="35"/>
        <v>0.92931117480270753</v>
      </c>
      <c r="T75" s="54">
        <f t="shared" si="35"/>
        <v>0.92868396332963077</v>
      </c>
    </row>
    <row r="77" spans="1:21" x14ac:dyDescent="0.2">
      <c r="A77" t="s">
        <v>126</v>
      </c>
      <c r="B77" s="34" t="s">
        <v>144</v>
      </c>
      <c r="C77" s="34"/>
      <c r="D77" s="34"/>
      <c r="E77" s="36">
        <f>F77-365</f>
        <v>42735</v>
      </c>
      <c r="F77" s="36">
        <f>G77-365</f>
        <v>43100</v>
      </c>
      <c r="G77" s="36">
        <f>H77-365</f>
        <v>43465</v>
      </c>
      <c r="H77" s="36">
        <f>I77-366</f>
        <v>43830</v>
      </c>
      <c r="I77" s="36">
        <f>J77-365</f>
        <v>44196</v>
      </c>
      <c r="J77" s="36">
        <v>44561</v>
      </c>
      <c r="K77" s="36">
        <f>J77+365</f>
        <v>44926</v>
      </c>
      <c r="L77" s="36">
        <f t="shared" ref="L77" si="36">K77+365</f>
        <v>45291</v>
      </c>
      <c r="M77" s="36">
        <f t="shared" ref="M77" si="37">L77+365</f>
        <v>45656</v>
      </c>
      <c r="N77" s="36">
        <f t="shared" ref="N77" si="38">M77+365</f>
        <v>46021</v>
      </c>
      <c r="O77" s="38">
        <f t="shared" ref="O77" si="39">N77+365</f>
        <v>46386</v>
      </c>
      <c r="P77" s="38">
        <f t="shared" ref="P77" si="40">O77+365</f>
        <v>46751</v>
      </c>
      <c r="Q77" s="38">
        <f t="shared" ref="Q77" si="41">P77+365</f>
        <v>47116</v>
      </c>
      <c r="R77" s="38">
        <f t="shared" ref="R77" si="42">Q77+365</f>
        <v>47481</v>
      </c>
      <c r="S77" s="38">
        <f t="shared" ref="S77" si="43">R77+365</f>
        <v>47846</v>
      </c>
      <c r="T77" s="38">
        <f t="shared" ref="T77" si="44">S77+365</f>
        <v>48211</v>
      </c>
      <c r="U77" s="37"/>
    </row>
    <row r="78" spans="1:21" ht="5" customHeight="1" x14ac:dyDescent="0.2"/>
    <row r="79" spans="1:21" x14ac:dyDescent="0.2">
      <c r="B79" t="s">
        <v>134</v>
      </c>
      <c r="E79" s="22">
        <f>E33-E62</f>
        <v>8943</v>
      </c>
      <c r="F79" s="22">
        <f t="shared" ref="F79:T79" si="45">F33-F62</f>
        <v>3001</v>
      </c>
      <c r="G79" s="22">
        <f t="shared" si="45"/>
        <v>11671</v>
      </c>
      <c r="H79" s="22">
        <f t="shared" si="45"/>
        <v>9859</v>
      </c>
      <c r="I79" s="22">
        <f t="shared" si="45"/>
        <v>-3103</v>
      </c>
      <c r="J79" s="22">
        <f t="shared" si="45"/>
        <v>13701</v>
      </c>
      <c r="K79" s="22">
        <f t="shared" si="45"/>
        <v>14375</v>
      </c>
      <c r="L79" s="22">
        <f t="shared" si="45"/>
        <v>20034</v>
      </c>
      <c r="M79" s="22">
        <f t="shared" si="45"/>
        <v>25019</v>
      </c>
      <c r="N79" s="22">
        <f t="shared" si="45"/>
        <v>20207</v>
      </c>
      <c r="O79" s="22">
        <f t="shared" si="45"/>
        <v>15331.773412817274</v>
      </c>
      <c r="P79" s="22">
        <f t="shared" si="45"/>
        <v>16324.33014417201</v>
      </c>
      <c r="Q79" s="22">
        <f t="shared" si="45"/>
        <v>16932.712251995225</v>
      </c>
      <c r="R79" s="22">
        <f t="shared" si="45"/>
        <v>17466.300701710803</v>
      </c>
      <c r="S79" s="22">
        <f t="shared" si="45"/>
        <v>17916.165229163424</v>
      </c>
      <c r="T79" s="22">
        <f t="shared" si="45"/>
        <v>18274.488533746684</v>
      </c>
    </row>
    <row r="80" spans="1:21" x14ac:dyDescent="0.2">
      <c r="B80" s="40" t="s">
        <v>142</v>
      </c>
      <c r="E80" s="53">
        <f>E79/E33</f>
        <v>5.4078732539154621E-2</v>
      </c>
      <c r="F80" s="53">
        <f t="shared" ref="F80:T80" si="46">F79/F33</f>
        <v>1.6085977701543738E-2</v>
      </c>
      <c r="G80" s="53">
        <f t="shared" si="46"/>
        <v>5.9398633999368913E-2</v>
      </c>
      <c r="H80" s="53">
        <f t="shared" si="46"/>
        <v>4.8825542409730444E-2</v>
      </c>
      <c r="I80" s="53">
        <f t="shared" si="46"/>
        <v>-1.5859629754566736E-2</v>
      </c>
      <c r="J80" s="53">
        <f t="shared" si="46"/>
        <v>6.2133518359794838E-2</v>
      </c>
      <c r="K80" s="53">
        <f t="shared" si="46"/>
        <v>5.9976551775931773E-2</v>
      </c>
      <c r="L80" s="53">
        <f t="shared" si="46"/>
        <v>6.7010740315820813E-2</v>
      </c>
      <c r="M80" s="53">
        <f t="shared" si="46"/>
        <v>8.3447291356756437E-2</v>
      </c>
      <c r="N80" s="53">
        <f t="shared" si="46"/>
        <v>6.7704214970180254E-2</v>
      </c>
      <c r="O80" s="53">
        <f t="shared" si="46"/>
        <v>4.898031411302381E-2</v>
      </c>
      <c r="P80" s="53">
        <f t="shared" si="46"/>
        <v>4.9999999999999989E-2</v>
      </c>
      <c r="Q80" s="53">
        <f t="shared" si="46"/>
        <v>5.0000000000000024E-2</v>
      </c>
      <c r="R80" s="53">
        <f t="shared" si="46"/>
        <v>5.0000000000000031E-2</v>
      </c>
      <c r="S80" s="53">
        <f t="shared" si="46"/>
        <v>5.0000000000000058E-2</v>
      </c>
      <c r="T80" s="53">
        <f t="shared" si="46"/>
        <v>5.0000000000000031E-2</v>
      </c>
    </row>
    <row r="81" spans="2:20" x14ac:dyDescent="0.2">
      <c r="B81" s="40" t="s">
        <v>228</v>
      </c>
      <c r="E81" s="53">
        <f>E79/E$90</f>
        <v>0.39970501474926251</v>
      </c>
      <c r="F81" s="53">
        <f t="shared" ref="F81:T81" si="47">F79/F$90</f>
        <v>0.17863095238095239</v>
      </c>
      <c r="G81" s="53">
        <f t="shared" si="47"/>
        <v>0.4077490130314782</v>
      </c>
      <c r="H81" s="53">
        <f t="shared" si="47"/>
        <v>0.34098848268944765</v>
      </c>
      <c r="I81" s="53">
        <f t="shared" si="47"/>
        <v>-0.2181984389283454</v>
      </c>
      <c r="J81" s="53">
        <f t="shared" si="47"/>
        <v>0.42617188715045567</v>
      </c>
      <c r="K81" s="53">
        <f t="shared" si="47"/>
        <v>0.40538635081782287</v>
      </c>
      <c r="L81" s="53">
        <f t="shared" si="47"/>
        <v>0.46227329364529973</v>
      </c>
      <c r="M81" s="53">
        <f t="shared" si="47"/>
        <v>0.44888402468781397</v>
      </c>
      <c r="N81" s="53">
        <f t="shared" si="47"/>
        <v>0.38147288138792923</v>
      </c>
      <c r="O81" s="53">
        <f t="shared" si="47"/>
        <v>0.31241543150945617</v>
      </c>
      <c r="P81" s="53">
        <f t="shared" si="47"/>
        <v>0.31503437012559271</v>
      </c>
      <c r="Q81" s="53">
        <f t="shared" si="47"/>
        <v>0.31221996115753436</v>
      </c>
      <c r="R81" s="53">
        <f t="shared" si="47"/>
        <v>0.30842355698128299</v>
      </c>
      <c r="S81" s="53">
        <f t="shared" si="47"/>
        <v>0.30365793379265021</v>
      </c>
      <c r="T81" s="53">
        <f t="shared" si="47"/>
        <v>0.29794093363389934</v>
      </c>
    </row>
    <row r="82" spans="2:20" x14ac:dyDescent="0.2">
      <c r="B82" s="40"/>
    </row>
    <row r="83" spans="2:20" x14ac:dyDescent="0.2">
      <c r="B83" t="s">
        <v>136</v>
      </c>
      <c r="E83" s="22">
        <f>E39-E68</f>
        <v>8706</v>
      </c>
      <c r="F83" s="22">
        <f t="shared" ref="F83:T83" si="48">F39-F68</f>
        <v>8655</v>
      </c>
      <c r="G83" s="22">
        <f t="shared" si="48"/>
        <v>9274</v>
      </c>
      <c r="H83" s="22">
        <f t="shared" si="48"/>
        <v>9814</v>
      </c>
      <c r="I83" s="22">
        <f t="shared" si="48"/>
        <v>9232</v>
      </c>
      <c r="J83" s="22">
        <f t="shared" si="48"/>
        <v>10983</v>
      </c>
      <c r="K83" s="22">
        <f t="shared" si="48"/>
        <v>10822</v>
      </c>
      <c r="L83" s="22">
        <f t="shared" si="48"/>
        <v>7540</v>
      </c>
      <c r="M83" s="22">
        <f t="shared" si="48"/>
        <v>8892</v>
      </c>
      <c r="N83" s="22">
        <f t="shared" si="48"/>
        <v>9503</v>
      </c>
      <c r="O83" s="22">
        <f t="shared" si="48"/>
        <v>9364.1351319225651</v>
      </c>
      <c r="P83" s="22">
        <f t="shared" si="48"/>
        <v>9895.2869064261104</v>
      </c>
      <c r="Q83" s="22">
        <f t="shared" si="48"/>
        <v>10422.66739581609</v>
      </c>
      <c r="R83" s="22">
        <f t="shared" si="48"/>
        <v>10942.795575490811</v>
      </c>
      <c r="S83" s="22">
        <f t="shared" si="48"/>
        <v>11452.093952371739</v>
      </c>
      <c r="T83" s="22">
        <f t="shared" si="48"/>
        <v>11946.927648337514</v>
      </c>
    </row>
    <row r="84" spans="2:20" x14ac:dyDescent="0.2">
      <c r="B84" s="40" t="s">
        <v>142</v>
      </c>
      <c r="E84" s="53">
        <f>E83/E39</f>
        <v>0.23190027169570082</v>
      </c>
      <c r="F84" s="53">
        <f t="shared" ref="F84:T84" si="49">F83/F39</f>
        <v>0.21668377437848935</v>
      </c>
      <c r="G84" s="53">
        <f t="shared" si="49"/>
        <v>0.21235088040665859</v>
      </c>
      <c r="H84" s="53">
        <f t="shared" si="49"/>
        <v>0.22585322072123903</v>
      </c>
      <c r="I84" s="53">
        <f t="shared" si="49"/>
        <v>0.22105162340771956</v>
      </c>
      <c r="J84" s="53">
        <f t="shared" si="49"/>
        <v>0.22824189526184538</v>
      </c>
      <c r="K84" s="53">
        <f t="shared" si="49"/>
        <v>0.2075207578285298</v>
      </c>
      <c r="L84" s="53">
        <f t="shared" si="49"/>
        <v>0.15155474261823884</v>
      </c>
      <c r="M84" s="53">
        <f t="shared" si="49"/>
        <v>0.17859007832898172</v>
      </c>
      <c r="N84" s="53">
        <f t="shared" si="49"/>
        <v>0.19111879814170504</v>
      </c>
      <c r="O84" s="53">
        <f t="shared" si="49"/>
        <v>0.18219609422936386</v>
      </c>
      <c r="P84" s="53">
        <f t="shared" si="49"/>
        <v>0.18675687538349112</v>
      </c>
      <c r="Q84" s="53">
        <f t="shared" si="49"/>
        <v>0.19131765653761817</v>
      </c>
      <c r="R84" s="53">
        <f t="shared" si="49"/>
        <v>0.19587843769174546</v>
      </c>
      <c r="S84" s="53">
        <f t="shared" si="49"/>
        <v>0.20043921884587262</v>
      </c>
      <c r="T84" s="53">
        <f t="shared" si="49"/>
        <v>0.2049999999999999</v>
      </c>
    </row>
    <row r="85" spans="2:20" x14ac:dyDescent="0.2">
      <c r="B85" s="40" t="s">
        <v>228</v>
      </c>
      <c r="E85" s="53">
        <f>E83/E$90</f>
        <v>0.38911236256368997</v>
      </c>
      <c r="F85" s="53">
        <f t="shared" ref="F85:T85" si="50">F83/F$90</f>
        <v>0.51517857142857137</v>
      </c>
      <c r="G85" s="53">
        <f t="shared" si="50"/>
        <v>0.32400517066694617</v>
      </c>
      <c r="H85" s="53">
        <f t="shared" si="50"/>
        <v>0.33943208937156294</v>
      </c>
      <c r="I85" s="53">
        <f t="shared" si="50"/>
        <v>0.6491807889740524</v>
      </c>
      <c r="J85" s="53">
        <f t="shared" si="50"/>
        <v>0.34162804441817785</v>
      </c>
      <c r="K85" s="53">
        <f t="shared" si="50"/>
        <v>0.30518894529046814</v>
      </c>
      <c r="L85" s="53">
        <f t="shared" si="50"/>
        <v>0.17398126355623242</v>
      </c>
      <c r="M85" s="53">
        <f t="shared" si="50"/>
        <v>0.15953782115688245</v>
      </c>
      <c r="N85" s="53">
        <f t="shared" si="50"/>
        <v>0.17940004908346077</v>
      </c>
      <c r="O85" s="53">
        <f t="shared" si="50"/>
        <v>0.19081291114743093</v>
      </c>
      <c r="P85" s="53">
        <f t="shared" si="50"/>
        <v>0.19096376085550495</v>
      </c>
      <c r="Q85" s="53">
        <f t="shared" si="50"/>
        <v>0.19218213603648482</v>
      </c>
      <c r="R85" s="53">
        <f t="shared" si="50"/>
        <v>0.19323015172762614</v>
      </c>
      <c r="S85" s="53">
        <f t="shared" si="50"/>
        <v>0.1940995264720991</v>
      </c>
      <c r="T85" s="53">
        <f t="shared" si="50"/>
        <v>0.19477857183412786</v>
      </c>
    </row>
    <row r="86" spans="2:20" x14ac:dyDescent="0.2">
      <c r="B86" s="40"/>
    </row>
    <row r="87" spans="2:20" x14ac:dyDescent="0.2">
      <c r="B87" t="s">
        <v>201</v>
      </c>
      <c r="E87" s="22">
        <f>E51</f>
        <v>4725</v>
      </c>
      <c r="F87" s="22">
        <f t="shared" ref="F87:T87" si="51">F51</f>
        <v>5144</v>
      </c>
      <c r="G87" s="22">
        <f t="shared" si="51"/>
        <v>7678</v>
      </c>
      <c r="H87" s="22">
        <f t="shared" si="51"/>
        <v>9240</v>
      </c>
      <c r="I87" s="22">
        <f t="shared" si="51"/>
        <v>8092</v>
      </c>
      <c r="J87" s="22">
        <f t="shared" si="51"/>
        <v>7465</v>
      </c>
      <c r="K87" s="22">
        <f t="shared" si="51"/>
        <v>10263</v>
      </c>
      <c r="L87" s="22">
        <f t="shared" si="51"/>
        <v>15764</v>
      </c>
      <c r="M87" s="22">
        <f t="shared" si="51"/>
        <v>21825</v>
      </c>
      <c r="N87" s="22">
        <f t="shared" si="51"/>
        <v>23261</v>
      </c>
      <c r="O87" s="22">
        <f t="shared" si="51"/>
        <v>24379.046999999999</v>
      </c>
      <c r="P87" s="22">
        <f t="shared" si="51"/>
        <v>25597.999349999998</v>
      </c>
      <c r="Q87" s="22">
        <f t="shared" si="51"/>
        <v>26877.899317500003</v>
      </c>
      <c r="R87" s="22">
        <f t="shared" si="51"/>
        <v>28221.794283375006</v>
      </c>
      <c r="S87" s="22">
        <f t="shared" si="51"/>
        <v>29632.883997543759</v>
      </c>
      <c r="T87" s="22">
        <f t="shared" si="51"/>
        <v>31114.528197420947</v>
      </c>
    </row>
    <row r="88" spans="2:20" x14ac:dyDescent="0.2">
      <c r="B88" s="40" t="s">
        <v>228</v>
      </c>
      <c r="E88" s="53">
        <f>E87/E$90</f>
        <v>0.21118262268704746</v>
      </c>
      <c r="F88" s="53">
        <f t="shared" ref="F88:T88" si="52">F87/F$90</f>
        <v>0.30619047619047618</v>
      </c>
      <c r="G88" s="53">
        <f t="shared" si="52"/>
        <v>0.26824581630157568</v>
      </c>
      <c r="H88" s="53">
        <f t="shared" si="52"/>
        <v>0.31957942793898936</v>
      </c>
      <c r="I88" s="53">
        <f t="shared" si="52"/>
        <v>0.56901764995429294</v>
      </c>
      <c r="J88" s="53">
        <f t="shared" si="52"/>
        <v>0.23220006843136645</v>
      </c>
      <c r="K88" s="53">
        <f t="shared" si="52"/>
        <v>0.28942470389170899</v>
      </c>
      <c r="L88" s="53">
        <f t="shared" si="52"/>
        <v>0.36374544279846788</v>
      </c>
      <c r="M88" s="53">
        <f t="shared" si="52"/>
        <v>0.39157815415530356</v>
      </c>
      <c r="N88" s="53">
        <f t="shared" si="52"/>
        <v>0.43912706952860997</v>
      </c>
      <c r="O88" s="53">
        <f t="shared" si="52"/>
        <v>0.4967716573431129</v>
      </c>
      <c r="P88" s="53">
        <f t="shared" si="52"/>
        <v>0.49400186901890236</v>
      </c>
      <c r="Q88" s="53">
        <f t="shared" si="52"/>
        <v>0.49559790280598087</v>
      </c>
      <c r="R88" s="53">
        <f t="shared" si="52"/>
        <v>0.49834629129109087</v>
      </c>
      <c r="S88" s="53">
        <f t="shared" si="52"/>
        <v>0.50224253973525068</v>
      </c>
      <c r="T88" s="53">
        <f t="shared" si="52"/>
        <v>0.50728049453197277</v>
      </c>
    </row>
    <row r="89" spans="2:20" x14ac:dyDescent="0.2">
      <c r="B89" s="40"/>
    </row>
    <row r="90" spans="2:20" s="24" customFormat="1" x14ac:dyDescent="0.2">
      <c r="B90" s="143" t="s">
        <v>227</v>
      </c>
      <c r="C90" s="144"/>
      <c r="D90" s="144"/>
      <c r="E90" s="145">
        <f>E87+E83+E79</f>
        <v>22374</v>
      </c>
      <c r="F90" s="145">
        <f t="shared" ref="F90:T90" si="53">F87+F83+F79</f>
        <v>16800</v>
      </c>
      <c r="G90" s="145">
        <f t="shared" si="53"/>
        <v>28623</v>
      </c>
      <c r="H90" s="145">
        <f t="shared" si="53"/>
        <v>28913</v>
      </c>
      <c r="I90" s="145">
        <f t="shared" si="53"/>
        <v>14221</v>
      </c>
      <c r="J90" s="145">
        <f t="shared" si="53"/>
        <v>32149</v>
      </c>
      <c r="K90" s="145">
        <f t="shared" si="53"/>
        <v>35460</v>
      </c>
      <c r="L90" s="145">
        <f t="shared" si="53"/>
        <v>43338</v>
      </c>
      <c r="M90" s="145">
        <f t="shared" si="53"/>
        <v>55736</v>
      </c>
      <c r="N90" s="145">
        <f t="shared" si="53"/>
        <v>52971</v>
      </c>
      <c r="O90" s="145">
        <f t="shared" si="53"/>
        <v>49074.955544739838</v>
      </c>
      <c r="P90" s="145">
        <f t="shared" si="53"/>
        <v>51817.616400598119</v>
      </c>
      <c r="Q90" s="145">
        <f t="shared" si="53"/>
        <v>54233.278965311314</v>
      </c>
      <c r="R90" s="145">
        <f t="shared" si="53"/>
        <v>56630.890560576619</v>
      </c>
      <c r="S90" s="145">
        <f t="shared" si="53"/>
        <v>59001.143179078921</v>
      </c>
      <c r="T90" s="146">
        <f t="shared" si="53"/>
        <v>61335.944379505148</v>
      </c>
    </row>
    <row r="91" spans="2:20" s="45" customFormat="1" x14ac:dyDescent="0.2">
      <c r="B91" s="151" t="s">
        <v>142</v>
      </c>
      <c r="C91" s="152"/>
      <c r="D91" s="152"/>
      <c r="E91" s="153">
        <f>E90/E57</f>
        <v>0.10775536152034561</v>
      </c>
      <c r="F91" s="153">
        <f t="shared" ref="F91:T91" si="54">F90/F57</f>
        <v>7.2524142337263162E-2</v>
      </c>
      <c r="G91" s="153">
        <f t="shared" si="54"/>
        <v>0.11549123012302441</v>
      </c>
      <c r="H91" s="153">
        <f t="shared" si="54"/>
        <v>0.11355531466993433</v>
      </c>
      <c r="I91" s="153">
        <f t="shared" si="54"/>
        <v>5.7924320801596679E-2</v>
      </c>
      <c r="J91" s="153">
        <f t="shared" si="54"/>
        <v>0.11644222619832376</v>
      </c>
      <c r="K91" s="153">
        <f t="shared" si="54"/>
        <v>0.11738262565005678</v>
      </c>
      <c r="L91" s="153">
        <f t="shared" si="54"/>
        <v>0.11890299109421042</v>
      </c>
      <c r="M91" s="153">
        <f t="shared" si="54"/>
        <v>0.15005667240121368</v>
      </c>
      <c r="N91" s="153">
        <f t="shared" si="54"/>
        <v>0.14260830703955374</v>
      </c>
      <c r="O91" s="153">
        <f t="shared" si="54"/>
        <v>0.12622352380112378</v>
      </c>
      <c r="P91" s="153">
        <f t="shared" si="54"/>
        <v>0.12792279158223224</v>
      </c>
      <c r="Q91" s="153">
        <f t="shared" si="54"/>
        <v>0.12912363291624016</v>
      </c>
      <c r="R91" s="153">
        <f t="shared" si="54"/>
        <v>0.13066263468193687</v>
      </c>
      <c r="S91" s="153">
        <f t="shared" si="54"/>
        <v>0.13255967593319573</v>
      </c>
      <c r="T91" s="154">
        <f t="shared" si="54"/>
        <v>0.1348392442254015</v>
      </c>
    </row>
    <row r="93" spans="2:20" x14ac:dyDescent="0.2">
      <c r="B93" s="49" t="s">
        <v>281</v>
      </c>
    </row>
    <row r="94" spans="2:20" x14ac:dyDescent="0.2">
      <c r="B94" s="76" t="s">
        <v>144</v>
      </c>
      <c r="E94" s="22">
        <f>E90</f>
        <v>22374</v>
      </c>
      <c r="F94" s="22">
        <f t="shared" ref="F94:T94" si="55">F90</f>
        <v>16800</v>
      </c>
      <c r="G94" s="22">
        <f t="shared" si="55"/>
        <v>28623</v>
      </c>
      <c r="H94" s="22">
        <f t="shared" si="55"/>
        <v>28913</v>
      </c>
      <c r="I94" s="22">
        <f t="shared" si="55"/>
        <v>14221</v>
      </c>
      <c r="J94" s="22">
        <f t="shared" si="55"/>
        <v>32149</v>
      </c>
      <c r="K94" s="22">
        <f t="shared" si="55"/>
        <v>35460</v>
      </c>
      <c r="L94" s="22">
        <f t="shared" si="55"/>
        <v>43338</v>
      </c>
      <c r="M94" s="22">
        <f t="shared" si="55"/>
        <v>55736</v>
      </c>
      <c r="N94" s="22">
        <f t="shared" si="55"/>
        <v>52971</v>
      </c>
      <c r="O94" s="22">
        <f t="shared" si="55"/>
        <v>49074.955544739838</v>
      </c>
      <c r="P94" s="22">
        <f t="shared" si="55"/>
        <v>51817.616400598119</v>
      </c>
      <c r="Q94" s="22">
        <f t="shared" si="55"/>
        <v>54233.278965311314</v>
      </c>
      <c r="R94" s="22">
        <f t="shared" si="55"/>
        <v>56630.890560576619</v>
      </c>
      <c r="S94" s="22">
        <f t="shared" si="55"/>
        <v>59001.143179078921</v>
      </c>
      <c r="T94" s="22">
        <f t="shared" si="55"/>
        <v>61335.944379505148</v>
      </c>
    </row>
    <row r="95" spans="2:20" x14ac:dyDescent="0.2">
      <c r="B95" s="76" t="s">
        <v>282</v>
      </c>
      <c r="E95" s="22">
        <f>E114</f>
        <v>8901</v>
      </c>
      <c r="F95" s="22">
        <f t="shared" ref="F95:T95" si="56">F114</f>
        <v>9188</v>
      </c>
      <c r="G95" s="22">
        <f t="shared" si="56"/>
        <v>9779</v>
      </c>
      <c r="H95" s="22">
        <f t="shared" si="56"/>
        <v>10064</v>
      </c>
      <c r="I95" s="22">
        <f t="shared" si="56"/>
        <v>10596</v>
      </c>
      <c r="J95" s="22">
        <f t="shared" si="56"/>
        <v>10718</v>
      </c>
      <c r="K95" s="22">
        <f t="shared" si="56"/>
        <v>10899</v>
      </c>
      <c r="L95" s="22">
        <f t="shared" si="56"/>
        <v>12486</v>
      </c>
      <c r="M95" s="22">
        <f t="shared" si="56"/>
        <v>12855</v>
      </c>
      <c r="N95" s="22">
        <f t="shared" si="56"/>
        <v>13476</v>
      </c>
      <c r="O95" s="22">
        <f t="shared" si="56"/>
        <v>13421.926074491106</v>
      </c>
      <c r="P95" s="22">
        <f t="shared" si="56"/>
        <v>14051.30850423457</v>
      </c>
      <c r="Q95" s="22">
        <f t="shared" si="56"/>
        <v>14581.038997279797</v>
      </c>
      <c r="R95" s="22">
        <f t="shared" si="56"/>
        <v>14860.499123338714</v>
      </c>
      <c r="S95" s="22">
        <f t="shared" si="56"/>
        <v>15263.055254658055</v>
      </c>
      <c r="T95" s="22">
        <f t="shared" si="56"/>
        <v>15576.25433353177</v>
      </c>
    </row>
    <row r="96" spans="2:20" x14ac:dyDescent="0.2">
      <c r="B96" s="143" t="s">
        <v>243</v>
      </c>
      <c r="C96" s="144"/>
      <c r="D96" s="144"/>
      <c r="E96" s="145">
        <f>SUM(E94:E95)</f>
        <v>31275</v>
      </c>
      <c r="F96" s="145">
        <f t="shared" ref="F96:T96" si="57">SUM(F94:F95)</f>
        <v>25988</v>
      </c>
      <c r="G96" s="145">
        <f t="shared" si="57"/>
        <v>38402</v>
      </c>
      <c r="H96" s="145">
        <f t="shared" si="57"/>
        <v>38977</v>
      </c>
      <c r="I96" s="145">
        <f t="shared" si="57"/>
        <v>24817</v>
      </c>
      <c r="J96" s="145">
        <f t="shared" si="57"/>
        <v>42867</v>
      </c>
      <c r="K96" s="145">
        <f t="shared" si="57"/>
        <v>46359</v>
      </c>
      <c r="L96" s="145">
        <f t="shared" si="57"/>
        <v>55824</v>
      </c>
      <c r="M96" s="145">
        <f t="shared" si="57"/>
        <v>68591</v>
      </c>
      <c r="N96" s="145">
        <f t="shared" si="57"/>
        <v>66447</v>
      </c>
      <c r="O96" s="145">
        <f t="shared" si="57"/>
        <v>62496.881619230946</v>
      </c>
      <c r="P96" s="145">
        <f t="shared" si="57"/>
        <v>65868.924904832689</v>
      </c>
      <c r="Q96" s="145">
        <f t="shared" si="57"/>
        <v>68814.317962591114</v>
      </c>
      <c r="R96" s="145">
        <f t="shared" si="57"/>
        <v>71491.389683915331</v>
      </c>
      <c r="S96" s="145">
        <f t="shared" si="57"/>
        <v>74264.198433736979</v>
      </c>
      <c r="T96" s="146">
        <f t="shared" si="57"/>
        <v>76912.198713036923</v>
      </c>
    </row>
    <row r="97" spans="1:21" x14ac:dyDescent="0.2">
      <c r="B97" s="151" t="s">
        <v>192</v>
      </c>
      <c r="C97" s="148"/>
      <c r="D97" s="148"/>
      <c r="E97" s="196">
        <f>E96/E$45</f>
        <v>0.15413085475477054</v>
      </c>
      <c r="F97" s="196">
        <f t="shared" ref="F97:T97" si="58">F96/F$45</f>
        <v>0.11473578716396693</v>
      </c>
      <c r="G97" s="196">
        <f t="shared" si="58"/>
        <v>0.15990239799466188</v>
      </c>
      <c r="H97" s="196">
        <f t="shared" si="58"/>
        <v>0.15884601591027647</v>
      </c>
      <c r="I97" s="196">
        <f t="shared" si="58"/>
        <v>0.10452872149542158</v>
      </c>
      <c r="J97" s="196">
        <f t="shared" si="58"/>
        <v>0.15957696302335192</v>
      </c>
      <c r="K97" s="196">
        <f t="shared" si="58"/>
        <v>0.15885836080404075</v>
      </c>
      <c r="L97" s="196">
        <f t="shared" si="58"/>
        <v>0.16008350587007267</v>
      </c>
      <c r="M97" s="196">
        <f t="shared" si="58"/>
        <v>0.19619402302006819</v>
      </c>
      <c r="N97" s="196">
        <f t="shared" si="58"/>
        <v>0.19083930002326363</v>
      </c>
      <c r="O97" s="196">
        <f t="shared" si="58"/>
        <v>0.17149919843333886</v>
      </c>
      <c r="P97" s="196">
        <f t="shared" si="58"/>
        <v>0.17358070721536722</v>
      </c>
      <c r="Q97" s="196">
        <f t="shared" si="58"/>
        <v>0.17504099493622133</v>
      </c>
      <c r="R97" s="196">
        <f t="shared" si="58"/>
        <v>0.17643863063103865</v>
      </c>
      <c r="S97" s="196">
        <f t="shared" si="58"/>
        <v>0.17875247249248299</v>
      </c>
      <c r="T97" s="197">
        <f t="shared" si="58"/>
        <v>0.18149623269704085</v>
      </c>
    </row>
    <row r="99" spans="1:21" x14ac:dyDescent="0.2">
      <c r="A99" t="s">
        <v>126</v>
      </c>
      <c r="B99" s="34" t="s">
        <v>145</v>
      </c>
      <c r="C99" s="34"/>
      <c r="D99" s="34"/>
      <c r="E99" s="36">
        <f>F99-365</f>
        <v>42735</v>
      </c>
      <c r="F99" s="36">
        <f>G99-365</f>
        <v>43100</v>
      </c>
      <c r="G99" s="36">
        <f>H99-365</f>
        <v>43465</v>
      </c>
      <c r="H99" s="36">
        <f>I99-366</f>
        <v>43830</v>
      </c>
      <c r="I99" s="36">
        <f>J99-365</f>
        <v>44196</v>
      </c>
      <c r="J99" s="36">
        <v>44561</v>
      </c>
      <c r="K99" s="36">
        <f>J99+365</f>
        <v>44926</v>
      </c>
      <c r="L99" s="36">
        <f t="shared" ref="L99:T99" si="59">K99+365</f>
        <v>45291</v>
      </c>
      <c r="M99" s="36">
        <f t="shared" si="59"/>
        <v>45656</v>
      </c>
      <c r="N99" s="36">
        <f t="shared" si="59"/>
        <v>46021</v>
      </c>
      <c r="O99" s="38">
        <f t="shared" si="59"/>
        <v>46386</v>
      </c>
      <c r="P99" s="38">
        <f t="shared" si="59"/>
        <v>46751</v>
      </c>
      <c r="Q99" s="38">
        <f t="shared" si="59"/>
        <v>47116</v>
      </c>
      <c r="R99" s="38">
        <f t="shared" si="59"/>
        <v>47481</v>
      </c>
      <c r="S99" s="38">
        <f t="shared" si="59"/>
        <v>47846</v>
      </c>
      <c r="T99" s="38">
        <f t="shared" si="59"/>
        <v>48211</v>
      </c>
      <c r="U99" s="37"/>
    </row>
    <row r="100" spans="1:21" ht="5" customHeight="1" x14ac:dyDescent="0.2"/>
    <row r="101" spans="1:21" x14ac:dyDescent="0.2">
      <c r="B101" t="s">
        <v>146</v>
      </c>
      <c r="E101" s="22">
        <f>'IS - Annual'!C59</f>
        <v>33667</v>
      </c>
      <c r="F101" s="22">
        <f>'IS - Annual'!D59</f>
        <v>23838</v>
      </c>
      <c r="G101" s="22">
        <f>'IS - Annual'!E59</f>
        <v>4001</v>
      </c>
      <c r="H101" s="22">
        <f>'IS - Annual'!F59</f>
        <v>102696</v>
      </c>
      <c r="I101" s="22">
        <f>'IS - Annual'!G59</f>
        <v>55693</v>
      </c>
      <c r="J101" s="22">
        <f>'IS - Annual'!H59</f>
        <v>111686</v>
      </c>
      <c r="K101" s="22">
        <f>'IS - Annual'!I59</f>
        <v>-30576</v>
      </c>
      <c r="L101" s="22">
        <f>'IS - Annual'!J59</f>
        <v>120166</v>
      </c>
      <c r="M101" s="22">
        <f>'IS - Annual'!K59</f>
        <v>110376</v>
      </c>
      <c r="N101" s="22">
        <f>'IS - Annual'!L59</f>
        <v>82459</v>
      </c>
    </row>
    <row r="102" spans="1:21" x14ac:dyDescent="0.2">
      <c r="B102" t="s">
        <v>145</v>
      </c>
      <c r="E102" s="22">
        <f>'IS - Annual'!C60</f>
        <v>-9240</v>
      </c>
      <c r="F102" s="22">
        <f>'IS - Annual'!D60</f>
        <v>21515</v>
      </c>
      <c r="G102" s="22">
        <f>'IS - Annual'!E60</f>
        <v>321</v>
      </c>
      <c r="H102" s="22">
        <f>'IS - Annual'!F60</f>
        <v>-20904</v>
      </c>
      <c r="I102" s="22">
        <f>'IS - Annual'!G60</f>
        <v>-12440</v>
      </c>
      <c r="J102" s="22">
        <f>'IS - Annual'!H60</f>
        <v>-20879</v>
      </c>
      <c r="K102" s="22">
        <f>'IS - Annual'!I60</f>
        <v>8518</v>
      </c>
      <c r="L102" s="22">
        <f>'IS - Annual'!J60</f>
        <v>-23019</v>
      </c>
      <c r="M102" s="22">
        <f>'IS - Annual'!K60</f>
        <v>-20815</v>
      </c>
      <c r="N102" s="22">
        <f>'IS - Annual'!L60</f>
        <v>-15199</v>
      </c>
    </row>
    <row r="103" spans="1:21" s="39" customFormat="1" x14ac:dyDescent="0.2">
      <c r="B103" s="40" t="s">
        <v>147</v>
      </c>
      <c r="E103" s="53">
        <f>E102/E101</f>
        <v>-0.27445272819081001</v>
      </c>
      <c r="F103" s="53">
        <f t="shared" ref="F103:N103" si="60">F102/F101</f>
        <v>0.90255054954274683</v>
      </c>
      <c r="G103" s="53">
        <f t="shared" si="60"/>
        <v>8.0229942514371405E-2</v>
      </c>
      <c r="H103" s="53">
        <f t="shared" si="60"/>
        <v>-0.20355223182986679</v>
      </c>
      <c r="I103" s="53">
        <f t="shared" si="60"/>
        <v>-0.22336738907941753</v>
      </c>
      <c r="J103" s="53">
        <f t="shared" si="60"/>
        <v>-0.18694375302186486</v>
      </c>
      <c r="K103" s="53">
        <f t="shared" si="60"/>
        <v>-0.2785845107273679</v>
      </c>
      <c r="L103" s="53">
        <f t="shared" si="60"/>
        <v>-0.19156000865469433</v>
      </c>
      <c r="M103" s="53">
        <f t="shared" si="60"/>
        <v>-0.1885826628977314</v>
      </c>
      <c r="N103" s="53">
        <f t="shared" si="60"/>
        <v>-0.18432190543179033</v>
      </c>
    </row>
    <row r="105" spans="1:21" x14ac:dyDescent="0.2">
      <c r="A105" t="s">
        <v>126</v>
      </c>
      <c r="B105" s="34" t="s">
        <v>148</v>
      </c>
      <c r="C105" s="34"/>
      <c r="D105" s="34"/>
      <c r="E105" s="36">
        <f>F105-365</f>
        <v>42735</v>
      </c>
      <c r="F105" s="36">
        <f>G105-365</f>
        <v>43100</v>
      </c>
      <c r="G105" s="36">
        <f>H105-365</f>
        <v>43465</v>
      </c>
      <c r="H105" s="36">
        <f>I105-366</f>
        <v>43830</v>
      </c>
      <c r="I105" s="36">
        <f>J105-365</f>
        <v>44196</v>
      </c>
      <c r="J105" s="36">
        <v>44561</v>
      </c>
      <c r="K105" s="36">
        <f>J105+365</f>
        <v>44926</v>
      </c>
      <c r="L105" s="36">
        <f t="shared" ref="L105:T105" si="61">K105+365</f>
        <v>45291</v>
      </c>
      <c r="M105" s="36">
        <f t="shared" si="61"/>
        <v>45656</v>
      </c>
      <c r="N105" s="36">
        <f t="shared" si="61"/>
        <v>46021</v>
      </c>
      <c r="O105" s="38">
        <f t="shared" si="61"/>
        <v>46386</v>
      </c>
      <c r="P105" s="38">
        <f t="shared" si="61"/>
        <v>46751</v>
      </c>
      <c r="Q105" s="38">
        <f t="shared" si="61"/>
        <v>47116</v>
      </c>
      <c r="R105" s="38">
        <f t="shared" si="61"/>
        <v>47481</v>
      </c>
      <c r="S105" s="38">
        <f t="shared" si="61"/>
        <v>47846</v>
      </c>
      <c r="T105" s="38">
        <f t="shared" si="61"/>
        <v>48211</v>
      </c>
      <c r="U105" s="37"/>
    </row>
    <row r="106" spans="1:21" ht="5" customHeight="1" x14ac:dyDescent="0.2"/>
    <row r="107" spans="1:21" ht="15" customHeight="1" x14ac:dyDescent="0.2">
      <c r="B107" s="49" t="s">
        <v>149</v>
      </c>
    </row>
    <row r="108" spans="1:21" ht="15" customHeight="1" x14ac:dyDescent="0.2">
      <c r="B108" t="s">
        <v>134</v>
      </c>
      <c r="E108" s="22">
        <f>'PP&amp;E_D&amp;A '!E25</f>
        <v>2954.5891242747266</v>
      </c>
      <c r="F108" s="22">
        <f>'PP&amp;E_D&amp;A '!F25</f>
        <v>2790.1561423650974</v>
      </c>
      <c r="G108" s="22">
        <f>'PP&amp;E_D&amp;A '!G25</f>
        <v>2934.7740252608455</v>
      </c>
      <c r="H108" s="22">
        <f>'PP&amp;E_D&amp;A '!H25</f>
        <v>3018.1358710018503</v>
      </c>
      <c r="I108" s="22">
        <f>'PP&amp;E_D&amp;A '!I25</f>
        <v>3027.8014533809583</v>
      </c>
      <c r="J108" s="22">
        <f>'PP&amp;E_D&amp;A '!J25</f>
        <v>2990.4097255657198</v>
      </c>
      <c r="K108" s="22">
        <f>'PP&amp;E_D&amp;A '!K25</f>
        <v>2933.2061014544165</v>
      </c>
      <c r="L108" s="22">
        <f>'PP&amp;E_D&amp;A '!L25</f>
        <v>3852.6861158432707</v>
      </c>
      <c r="M108" s="22">
        <f>'PP&amp;E_D&amp;A '!M25</f>
        <v>4160.4231128647079</v>
      </c>
      <c r="N108" s="22">
        <f>'PP&amp;E_D&amp;A '!N25</f>
        <v>4310.0354819633358</v>
      </c>
      <c r="O108" s="22">
        <f>'PP&amp;E_D&amp;A '!O25</f>
        <v>4299.2202386797435</v>
      </c>
      <c r="P108" s="22">
        <f>'PP&amp;E_D&amp;A '!P25</f>
        <v>4576.4824896642713</v>
      </c>
      <c r="Q108" s="22">
        <f>'PP&amp;E_D&amp;A '!Q25</f>
        <v>4762.9430280778442</v>
      </c>
      <c r="R108" s="22">
        <f>'PP&amp;E_D&amp;A '!R25</f>
        <v>4869.1832380684646</v>
      </c>
      <c r="S108" s="22">
        <f>'PP&amp;E_D&amp;A '!S25</f>
        <v>5018.9729621135093</v>
      </c>
      <c r="T108" s="22">
        <f>'PP&amp;E_D&amp;A '!T25</f>
        <v>5118.068494621295</v>
      </c>
    </row>
    <row r="109" spans="1:21" ht="15" customHeight="1" x14ac:dyDescent="0.2">
      <c r="B109" s="40" t="str">
        <f>'PP&amp;E_D&amp;A '!B27</f>
        <v>% insurance &amp; other revenue</v>
      </c>
      <c r="E109" s="42">
        <f>'PP&amp;E_D&amp;A '!E27</f>
        <v>1.7866536398831265E-2</v>
      </c>
      <c r="F109" s="42">
        <f>'PP&amp;E_D&amp;A '!F27</f>
        <v>1.495581122622801E-2</v>
      </c>
      <c r="G109" s="42">
        <f>'PP&amp;E_D&amp;A '!G27</f>
        <v>1.4936300933709503E-2</v>
      </c>
      <c r="H109" s="42">
        <f>'PP&amp;E_D&amp;A '!H27</f>
        <v>1.4946964293328894E-2</v>
      </c>
      <c r="I109" s="42">
        <f>'PP&amp;E_D&amp;A '!I27</f>
        <v>1.547528521461845E-2</v>
      </c>
      <c r="J109" s="42">
        <f>'PP&amp;E_D&amp;A '!J27</f>
        <v>1.3561395342438267E-2</v>
      </c>
      <c r="K109" s="42">
        <f>'PP&amp;E_D&amp;A '!K27</f>
        <v>1.2238162616581552E-2</v>
      </c>
      <c r="L109" s="42">
        <f>'PP&amp;E_D&amp;A '!L27</f>
        <v>1.2886660119154524E-2</v>
      </c>
      <c r="M109" s="42">
        <f>'PP&amp;E_D&amp;A '!M27</f>
        <v>1.38764954501221E-2</v>
      </c>
      <c r="N109" s="42">
        <f>'PP&amp;E_D&amp;A '!N27</f>
        <v>1.4440914970057414E-2</v>
      </c>
      <c r="O109" s="42">
        <f>'PP&amp;E_D&amp;A '!O27</f>
        <v>1.3734690179778013E-2</v>
      </c>
      <c r="P109" s="42">
        <f>'PP&amp;E_D&amp;A '!P27</f>
        <v>1.4017366866652508E-2</v>
      </c>
      <c r="Q109" s="42">
        <f>'PP&amp;E_D&amp;A '!Q27</f>
        <v>1.406432400549598E-2</v>
      </c>
      <c r="R109" s="42">
        <f>'PP&amp;E_D&amp;A '!R27</f>
        <v>1.3938793683975501E-2</v>
      </c>
      <c r="S109" s="42">
        <f>'PP&amp;E_D&amp;A '!S27</f>
        <v>1.4006828185374664E-2</v>
      </c>
      <c r="T109" s="42">
        <f>'PP&amp;E_D&amp;A '!T27</f>
        <v>1.4003315291615382E-2</v>
      </c>
    </row>
    <row r="110" spans="1:21" ht="15" customHeight="1" x14ac:dyDescent="0.2"/>
    <row r="111" spans="1:21" ht="15" customHeight="1" x14ac:dyDescent="0.2">
      <c r="B111" t="s">
        <v>136</v>
      </c>
      <c r="E111" s="22">
        <f>'PP&amp;E_D&amp;A '!E29</f>
        <v>5946.4108757252734</v>
      </c>
      <c r="F111" s="22">
        <f>'PP&amp;E_D&amp;A '!F29</f>
        <v>6397.8438576349026</v>
      </c>
      <c r="G111" s="22">
        <f>'PP&amp;E_D&amp;A '!G29</f>
        <v>6844.2259747391545</v>
      </c>
      <c r="H111" s="22">
        <f>'PP&amp;E_D&amp;A '!H29</f>
        <v>7045.8641289981497</v>
      </c>
      <c r="I111" s="22">
        <f>'PP&amp;E_D&amp;A '!I29</f>
        <v>7568.1985466190417</v>
      </c>
      <c r="J111" s="22">
        <f>'PP&amp;E_D&amp;A '!J29</f>
        <v>7727.5902744342802</v>
      </c>
      <c r="K111" s="22">
        <f>'PP&amp;E_D&amp;A '!K29</f>
        <v>7965.7938985455839</v>
      </c>
      <c r="L111" s="22">
        <f>'PP&amp;E_D&amp;A '!L29</f>
        <v>8633.3138841567288</v>
      </c>
      <c r="M111" s="22">
        <f>'PP&amp;E_D&amp;A '!M29</f>
        <v>8694.5768871352921</v>
      </c>
      <c r="N111" s="22">
        <f>'PP&amp;E_D&amp;A '!N29</f>
        <v>9165.9645180366642</v>
      </c>
      <c r="O111" s="22">
        <f>'PP&amp;E_D&amp;A '!O29</f>
        <v>9122.7058358113627</v>
      </c>
      <c r="P111" s="22">
        <f>'PP&amp;E_D&amp;A '!P29</f>
        <v>9474.8260145702989</v>
      </c>
      <c r="Q111" s="22">
        <f>'PP&amp;E_D&amp;A '!Q29</f>
        <v>9818.0959692019514</v>
      </c>
      <c r="R111" s="22">
        <f>'PP&amp;E_D&amp;A '!R29</f>
        <v>9991.3158852702491</v>
      </c>
      <c r="S111" s="22">
        <f>'PP&amp;E_D&amp;A '!S29</f>
        <v>10244.082292544545</v>
      </c>
      <c r="T111" s="22">
        <f>'PP&amp;E_D&amp;A '!T29</f>
        <v>10458.185838910475</v>
      </c>
    </row>
    <row r="112" spans="1:21" ht="15" customHeight="1" x14ac:dyDescent="0.2">
      <c r="B112" s="39" t="str">
        <f>'PP&amp;E_D&amp;A '!B31</f>
        <v>% railroads, utilities &amp; energy revenue</v>
      </c>
      <c r="E112" s="42">
        <f>'PP&amp;E_D&amp;A '!E31</f>
        <v>0.15839355590339549</v>
      </c>
      <c r="F112" s="42">
        <f>'PP&amp;E_D&amp;A '!F31</f>
        <v>0.16017434488232987</v>
      </c>
      <c r="G112" s="42">
        <f>'PP&amp;E_D&amp;A '!G31</f>
        <v>0.15671526972589825</v>
      </c>
      <c r="H112" s="42">
        <f>'PP&amp;E_D&amp;A '!H31</f>
        <v>0.16214908358452004</v>
      </c>
      <c r="I112" s="42">
        <f>'PP&amp;E_D&amp;A '!I31</f>
        <v>0.18121345049849252</v>
      </c>
      <c r="J112" s="42">
        <f>'PP&amp;E_D&amp;A '!J31</f>
        <v>0.16058998907801914</v>
      </c>
      <c r="K112" s="42">
        <f>'PP&amp;E_D&amp;A '!K31</f>
        <v>0.15275065482646999</v>
      </c>
      <c r="L112" s="42">
        <f>'PP&amp;E_D&amp;A '!L31</f>
        <v>0.17353045937080117</v>
      </c>
      <c r="M112" s="42">
        <f>'PP&amp;E_D&amp;A '!M31</f>
        <v>0.1746249625855652</v>
      </c>
      <c r="N112" s="42">
        <f>'PP&amp;E_D&amp;A '!N31</f>
        <v>0.18434053693535515</v>
      </c>
      <c r="O112" s="42">
        <f>'PP&amp;E_D&amp;A '!O31</f>
        <v>0.17749865296390718</v>
      </c>
      <c r="P112" s="42">
        <f>'PP&amp;E_D&amp;A '!P31</f>
        <v>0.1788213841616092</v>
      </c>
      <c r="Q112" s="42">
        <f>'PP&amp;E_D&amp;A '!Q31</f>
        <v>0.18022019135362385</v>
      </c>
      <c r="R112" s="42">
        <f>'PP&amp;E_D&amp;A '!R31</f>
        <v>0.17884674282638011</v>
      </c>
      <c r="S112" s="42">
        <f>'PP&amp;E_D&amp;A '!S31</f>
        <v>0.17929610611387106</v>
      </c>
      <c r="T112" s="42">
        <f>'PP&amp;E_D&amp;A '!T31</f>
        <v>0.17945434676462502</v>
      </c>
    </row>
    <row r="113" spans="2:22" ht="15" customHeight="1" x14ac:dyDescent="0.2">
      <c r="V113" s="22"/>
    </row>
    <row r="114" spans="2:22" x14ac:dyDescent="0.2">
      <c r="B114" s="143" t="s">
        <v>174</v>
      </c>
      <c r="C114" s="144"/>
      <c r="D114" s="144"/>
      <c r="E114" s="145">
        <f>E111+E108</f>
        <v>8901</v>
      </c>
      <c r="F114" s="145">
        <f t="shared" ref="F114:N114" si="62">F111+F108</f>
        <v>9188</v>
      </c>
      <c r="G114" s="145">
        <f t="shared" si="62"/>
        <v>9779</v>
      </c>
      <c r="H114" s="145">
        <f t="shared" si="62"/>
        <v>10064</v>
      </c>
      <c r="I114" s="145">
        <f t="shared" si="62"/>
        <v>10596</v>
      </c>
      <c r="J114" s="145">
        <f t="shared" si="62"/>
        <v>10718</v>
      </c>
      <c r="K114" s="145">
        <f t="shared" si="62"/>
        <v>10899</v>
      </c>
      <c r="L114" s="145">
        <f t="shared" si="62"/>
        <v>12486</v>
      </c>
      <c r="M114" s="145">
        <f t="shared" si="62"/>
        <v>12855</v>
      </c>
      <c r="N114" s="145">
        <f t="shared" si="62"/>
        <v>13476</v>
      </c>
      <c r="O114" s="145">
        <f t="shared" ref="O114:T114" si="63">O111+O108</f>
        <v>13421.926074491106</v>
      </c>
      <c r="P114" s="145">
        <f t="shared" si="63"/>
        <v>14051.30850423457</v>
      </c>
      <c r="Q114" s="145">
        <f t="shared" si="63"/>
        <v>14581.038997279797</v>
      </c>
      <c r="R114" s="145">
        <f t="shared" si="63"/>
        <v>14860.499123338714</v>
      </c>
      <c r="S114" s="145">
        <f t="shared" si="63"/>
        <v>15263.055254658055</v>
      </c>
      <c r="T114" s="146">
        <f t="shared" si="63"/>
        <v>15576.25433353177</v>
      </c>
    </row>
    <row r="115" spans="2:22" s="39" customFormat="1" x14ac:dyDescent="0.2">
      <c r="B115" s="151" t="s">
        <v>192</v>
      </c>
      <c r="C115" s="152"/>
      <c r="D115" s="152"/>
      <c r="E115" s="153">
        <f>E114/E$45</f>
        <v>4.3866306576249806E-2</v>
      </c>
      <c r="F115" s="153">
        <f t="shared" ref="F115:N115" si="64">F114/F45</f>
        <v>4.0564584133543483E-2</v>
      </c>
      <c r="G115" s="153">
        <f t="shared" si="64"/>
        <v>4.0718857090510867E-2</v>
      </c>
      <c r="H115" s="153">
        <f t="shared" si="64"/>
        <v>4.1014606155451223E-2</v>
      </c>
      <c r="I115" s="153">
        <f t="shared" si="64"/>
        <v>4.4630145987246121E-2</v>
      </c>
      <c r="J115" s="153">
        <f t="shared" si="64"/>
        <v>3.9898894013676856E-2</v>
      </c>
      <c r="K115" s="153">
        <f t="shared" si="64"/>
        <v>3.7347597541000456E-2</v>
      </c>
      <c r="L115" s="153">
        <f t="shared" si="64"/>
        <v>3.5805435910965307E-2</v>
      </c>
      <c r="M115" s="153">
        <f t="shared" si="64"/>
        <v>3.6769753552550286E-2</v>
      </c>
      <c r="N115" s="153">
        <f t="shared" si="64"/>
        <v>3.8703785078536286E-2</v>
      </c>
      <c r="O115" s="153">
        <f t="shared" ref="O115" si="65">O114/O45</f>
        <v>3.6831430682110256E-2</v>
      </c>
      <c r="P115" s="153">
        <f t="shared" ref="P115" si="66">P114/P45</f>
        <v>3.7028630283403828E-2</v>
      </c>
      <c r="Q115" s="153">
        <f t="shared" ref="Q115" si="67">Q114/Q45</f>
        <v>3.7089368155551153E-2</v>
      </c>
      <c r="R115" s="153">
        <f t="shared" ref="R115" si="68">R114/R45</f>
        <v>3.6675271349572644E-2</v>
      </c>
      <c r="S115" s="153">
        <f t="shared" ref="S115" si="69">S114/S45</f>
        <v>3.6737875343714574E-2</v>
      </c>
      <c r="T115" s="154">
        <f t="shared" ref="T115" si="70">T114/T45</f>
        <v>3.675660725309339E-2</v>
      </c>
    </row>
    <row r="117" spans="2:22" x14ac:dyDescent="0.2">
      <c r="B117" s="49" t="s">
        <v>150</v>
      </c>
    </row>
    <row r="118" spans="2:22" x14ac:dyDescent="0.2">
      <c r="B118" t="s">
        <v>134</v>
      </c>
      <c r="E118" s="22">
        <f>'PP&amp;E_D&amp;A '!E52</f>
        <v>8408.4086642599286</v>
      </c>
      <c r="F118" s="22">
        <f>'PP&amp;E_D&amp;A '!F52</f>
        <v>3961.2176107683681</v>
      </c>
      <c r="G118" s="22">
        <f>'PP&amp;E_D&amp;A '!G52</f>
        <v>5169.0457235868598</v>
      </c>
      <c r="H118" s="22">
        <f>'PP&amp;E_D&amp;A '!H52</f>
        <v>4772.8700175482581</v>
      </c>
      <c r="I118" s="22">
        <f>'PP&amp;E_D&amp;A '!I52</f>
        <v>1092.377181067809</v>
      </c>
      <c r="J118" s="22">
        <f>'PP&amp;E_D&amp;A '!J52</f>
        <v>1783.3154418996767</v>
      </c>
      <c r="K118" s="22">
        <f>'PP&amp;E_D&amp;A '!K52</f>
        <v>3329.9350465970065</v>
      </c>
      <c r="L118" s="22">
        <f>'PP&amp;E_D&amp;A '!L52</f>
        <v>11025.793450232079</v>
      </c>
      <c r="M118" s="22">
        <f>'PP&amp;E_D&amp;A '!M52</f>
        <v>3009.8080326752893</v>
      </c>
      <c r="N118" s="22">
        <f>'PP&amp;E_D&amp;A '!N52</f>
        <v>6054.1202467294788</v>
      </c>
      <c r="O118" s="22">
        <f>'PP&amp;E_D&amp;A '!O52</f>
        <v>5583.2364703563808</v>
      </c>
      <c r="P118" s="22">
        <f>'PP&amp;E_D&amp;A '!P52</f>
        <v>5823.452815673345</v>
      </c>
      <c r="Q118" s="22">
        <f>'PP&amp;E_D&amp;A '!Q52</f>
        <v>6040.483742364886</v>
      </c>
      <c r="R118" s="22">
        <f>'PP&amp;E_D&amp;A '!R52</f>
        <v>6230.8331859539267</v>
      </c>
      <c r="S118" s="22">
        <f>'PP&amp;E_D&amp;A '!S52</f>
        <v>6391.3154125401588</v>
      </c>
      <c r="T118" s="22">
        <f>'PP&amp;E_D&amp;A '!T52</f>
        <v>6519.1417207909617</v>
      </c>
    </row>
    <row r="119" spans="2:22" x14ac:dyDescent="0.2">
      <c r="B119" s="40" t="s">
        <v>177</v>
      </c>
      <c r="E119" s="41">
        <f>'PP&amp;E_D&amp;A '!E53</f>
        <v>5.0846034131099525E-2</v>
      </c>
      <c r="F119" s="41">
        <f>'PP&amp;E_D&amp;A '!F53</f>
        <v>2.1232941738681219E-2</v>
      </c>
      <c r="G119" s="41">
        <f>'PP&amp;E_D&amp;A '!G53</f>
        <v>2.6307450523634559E-2</v>
      </c>
      <c r="H119" s="41">
        <f>'PP&amp;E_D&amp;A '!H53</f>
        <v>2.3637079567697877E-2</v>
      </c>
      <c r="I119" s="41">
        <f>'PP&amp;E_D&amp;A '!I53</f>
        <v>5.5832090377288942E-3</v>
      </c>
      <c r="J119" s="41">
        <f>'PP&amp;E_D&amp;A '!J53</f>
        <v>8.0872682833792574E-3</v>
      </c>
      <c r="K119" s="41">
        <f>'PP&amp;E_D&amp;A '!K53</f>
        <v>1.3893427598797576E-2</v>
      </c>
      <c r="L119" s="41">
        <f>'PP&amp;E_D&amp;A '!L53</f>
        <v>3.6879633706168501E-2</v>
      </c>
      <c r="M119" s="41">
        <f>'PP&amp;E_D&amp;A '!M53</f>
        <v>1.0038783637657809E-2</v>
      </c>
      <c r="N119" s="41">
        <f>'PP&amp;E_D&amp;A '!N53</f>
        <v>2.0284528066506328E-2</v>
      </c>
      <c r="O119" s="41">
        <f>'PP&amp;E_D&amp;A '!O53</f>
        <v>1.7836728258501893E-2</v>
      </c>
      <c r="P119" s="41">
        <f>'PP&amp;E_D&amp;A '!P53</f>
        <v>1.7836728258501893E-2</v>
      </c>
      <c r="Q119" s="41">
        <f>'PP&amp;E_D&amp;A '!Q53</f>
        <v>1.7836728258501893E-2</v>
      </c>
      <c r="R119" s="41">
        <f>'PP&amp;E_D&amp;A '!R53</f>
        <v>1.7836728258501893E-2</v>
      </c>
      <c r="S119" s="41">
        <f>'PP&amp;E_D&amp;A '!S53</f>
        <v>1.7836728258501893E-2</v>
      </c>
      <c r="T119" s="41">
        <f>'PP&amp;E_D&amp;A '!T53</f>
        <v>1.7836728258501893E-2</v>
      </c>
    </row>
    <row r="121" spans="2:22" x14ac:dyDescent="0.2">
      <c r="B121" t="s">
        <v>136</v>
      </c>
      <c r="E121" s="22">
        <f>'PP&amp;E_D&amp;A '!E58</f>
        <v>4545.5913357400723</v>
      </c>
      <c r="F121" s="22">
        <f>'PP&amp;E_D&amp;A '!F58</f>
        <v>7746.7823892316319</v>
      </c>
      <c r="G121" s="22">
        <f>'PP&amp;E_D&amp;A '!G58</f>
        <v>9367.9542764131402</v>
      </c>
      <c r="H121" s="22">
        <f>'PP&amp;E_D&amp;A '!H58</f>
        <v>11206.129982451743</v>
      </c>
      <c r="I121" s="22">
        <f>'PP&amp;E_D&amp;A '!I58</f>
        <v>11919.62281893219</v>
      </c>
      <c r="J121" s="22">
        <f>'PP&amp;E_D&amp;A '!J58</f>
        <v>11492.684558100324</v>
      </c>
      <c r="K121" s="22">
        <f>'PP&amp;E_D&amp;A '!K58</f>
        <v>12134.064953402994</v>
      </c>
      <c r="L121" s="22">
        <f>'PP&amp;E_D&amp;A '!L58</f>
        <v>8383.2065497679214</v>
      </c>
      <c r="M121" s="22">
        <f>'PP&amp;E_D&amp;A '!M58</f>
        <v>15966.19196732471</v>
      </c>
      <c r="N121" s="22">
        <f>'PP&amp;E_D&amp;A '!N58</f>
        <v>14872.879753270521</v>
      </c>
      <c r="O121" s="22">
        <f>'PP&amp;E_D&amp;A '!O58</f>
        <v>14022.089123911055</v>
      </c>
      <c r="P121" s="22">
        <f>'PP&amp;E_D&amp;A '!P58</f>
        <v>14455.592769236553</v>
      </c>
      <c r="Q121" s="22">
        <f>'PP&amp;E_D&amp;A '!Q58</f>
        <v>14863.050040464916</v>
      </c>
      <c r="R121" s="22">
        <f>'PP&amp;E_D&amp;A '!R58</f>
        <v>15241.431839561908</v>
      </c>
      <c r="S121" s="22">
        <f>'PP&amp;E_D&amp;A '!S58</f>
        <v>15587.853457420515</v>
      </c>
      <c r="T121" s="22">
        <f>'PP&amp;E_D&amp;A '!T58</f>
        <v>15899.610526568926</v>
      </c>
    </row>
    <row r="122" spans="2:22" x14ac:dyDescent="0.2">
      <c r="B122" s="40" t="s">
        <v>178</v>
      </c>
      <c r="E122" s="41">
        <f>'PP&amp;E_D&amp;A '!E59</f>
        <v>0.12108015917479283</v>
      </c>
      <c r="F122" s="41">
        <f>'PP&amp;E_D&amp;A '!F59</f>
        <v>0.19394593268486673</v>
      </c>
      <c r="G122" s="41">
        <f>'PP&amp;E_D&amp;A '!G59</f>
        <v>0.21450219303489892</v>
      </c>
      <c r="H122" s="41">
        <f>'PP&amp;E_D&amp;A '!H59</f>
        <v>0.25789082416523007</v>
      </c>
      <c r="I122" s="41">
        <f>'PP&amp;E_D&amp;A '!I59</f>
        <v>0.28540424334192582</v>
      </c>
      <c r="J122" s="41">
        <f>'PP&amp;E_D&amp;A '!J59</f>
        <v>0.23883384368454538</v>
      </c>
      <c r="K122" s="41">
        <f>'PP&amp;E_D&amp;A '!K59</f>
        <v>0.23268068329983307</v>
      </c>
      <c r="L122" s="41">
        <f>'PP&amp;E_D&amp;A '!L59</f>
        <v>0.16850327731639406</v>
      </c>
      <c r="M122" s="41">
        <f>'PP&amp;E_D&amp;A '!M59</f>
        <v>0.32067065610212314</v>
      </c>
      <c r="N122" s="41">
        <f>'PP&amp;E_D&amp;A '!N59</f>
        <v>0.2991146904505062</v>
      </c>
      <c r="O122" s="41">
        <f>'PP&amp;E_D&amp;A '!O59</f>
        <v>0.27282496838425196</v>
      </c>
      <c r="P122" s="41">
        <f>'PP&amp;E_D&amp;A '!P59</f>
        <v>0.27282496838425196</v>
      </c>
      <c r="Q122" s="41">
        <f>'PP&amp;E_D&amp;A '!Q59</f>
        <v>0.27282496838425196</v>
      </c>
      <c r="R122" s="41">
        <f>'PP&amp;E_D&amp;A '!R59</f>
        <v>0.27282496838425196</v>
      </c>
      <c r="S122" s="41">
        <f>'PP&amp;E_D&amp;A '!S59</f>
        <v>0.27282496838425196</v>
      </c>
      <c r="T122" s="41">
        <f>'PP&amp;E_D&amp;A '!T59</f>
        <v>0.27282496838425196</v>
      </c>
    </row>
    <row r="124" spans="2:22" x14ac:dyDescent="0.2">
      <c r="B124" s="143" t="s">
        <v>193</v>
      </c>
      <c r="C124" s="144"/>
      <c r="D124" s="144"/>
      <c r="E124" s="145">
        <f t="shared" ref="E124:N124" si="71">E121+E118</f>
        <v>12954</v>
      </c>
      <c r="F124" s="145">
        <f t="shared" si="71"/>
        <v>11708</v>
      </c>
      <c r="G124" s="145">
        <f t="shared" si="71"/>
        <v>14537</v>
      </c>
      <c r="H124" s="145">
        <f t="shared" si="71"/>
        <v>15979</v>
      </c>
      <c r="I124" s="145">
        <f t="shared" si="71"/>
        <v>13012</v>
      </c>
      <c r="J124" s="145">
        <f t="shared" si="71"/>
        <v>13276</v>
      </c>
      <c r="K124" s="145">
        <f t="shared" si="71"/>
        <v>15464</v>
      </c>
      <c r="L124" s="145">
        <f t="shared" si="71"/>
        <v>19409</v>
      </c>
      <c r="M124" s="145">
        <f t="shared" si="71"/>
        <v>18976</v>
      </c>
      <c r="N124" s="145">
        <f t="shared" si="71"/>
        <v>20927</v>
      </c>
      <c r="O124" s="145">
        <f t="shared" ref="O124:T124" si="72">O121+O118</f>
        <v>19605.325594267437</v>
      </c>
      <c r="P124" s="145">
        <f t="shared" si="72"/>
        <v>20279.045584909898</v>
      </c>
      <c r="Q124" s="145">
        <f t="shared" si="72"/>
        <v>20903.5337828298</v>
      </c>
      <c r="R124" s="145">
        <f t="shared" si="72"/>
        <v>21472.265025515837</v>
      </c>
      <c r="S124" s="145">
        <f t="shared" si="72"/>
        <v>21979.168869960675</v>
      </c>
      <c r="T124" s="146">
        <f t="shared" si="72"/>
        <v>22418.752247359887</v>
      </c>
    </row>
    <row r="125" spans="2:22" s="39" customFormat="1" x14ac:dyDescent="0.2">
      <c r="B125" s="151" t="s">
        <v>192</v>
      </c>
      <c r="C125" s="152"/>
      <c r="D125" s="152"/>
      <c r="E125" s="153">
        <f>E124/E$45</f>
        <v>6.3840482573726542E-2</v>
      </c>
      <c r="F125" s="153">
        <f t="shared" ref="F125:N125" si="73">F124/F$45</f>
        <v>5.1690264588107E-2</v>
      </c>
      <c r="G125" s="153">
        <f t="shared" si="73"/>
        <v>6.0530731723566468E-2</v>
      </c>
      <c r="H125" s="153">
        <f t="shared" si="73"/>
        <v>6.5120468179447055E-2</v>
      </c>
      <c r="I125" s="153">
        <f t="shared" si="73"/>
        <v>5.480629101416068E-2</v>
      </c>
      <c r="J125" s="153">
        <f t="shared" si="73"/>
        <v>4.942132085515711E-2</v>
      </c>
      <c r="K125" s="153">
        <f t="shared" si="73"/>
        <v>5.2990480628867888E-2</v>
      </c>
      <c r="L125" s="153">
        <f t="shared" si="73"/>
        <v>5.5658153579683296E-2</v>
      </c>
      <c r="M125" s="153">
        <f t="shared" si="73"/>
        <v>5.4277934143383444E-2</v>
      </c>
      <c r="N125" s="153">
        <f t="shared" si="73"/>
        <v>6.0103451345987602E-2</v>
      </c>
      <c r="O125" s="153">
        <f t="shared" ref="O125" si="74">O124/O$45</f>
        <v>5.3799446265601736E-2</v>
      </c>
      <c r="P125" s="153">
        <f t="shared" ref="P125" si="75">P124/P$45</f>
        <v>5.3440238767629718E-2</v>
      </c>
      <c r="Q125" s="153">
        <f t="shared" ref="Q125" si="76">Q124/Q$45</f>
        <v>5.3171715703388023E-2</v>
      </c>
      <c r="R125" s="153">
        <f t="shared" ref="R125" si="77">R124/R$45</f>
        <v>5.2992913613779308E-2</v>
      </c>
      <c r="S125" s="153">
        <f t="shared" ref="S125" si="78">S124/S$45</f>
        <v>5.2903429400652929E-2</v>
      </c>
      <c r="T125" s="154">
        <f t="shared" ref="T125" si="79">T124/T$45</f>
        <v>5.2903429400652922E-2</v>
      </c>
    </row>
    <row r="126" spans="2:22" x14ac:dyDescent="0.2">
      <c r="E126" s="22"/>
      <c r="F126" s="22"/>
      <c r="G126" s="22"/>
      <c r="H126" s="22"/>
      <c r="I126" s="22"/>
      <c r="J126" s="22"/>
      <c r="K126" s="22"/>
      <c r="L126" s="22"/>
      <c r="M126" s="22"/>
      <c r="N126" s="22"/>
    </row>
    <row r="127" spans="2:22" x14ac:dyDescent="0.2">
      <c r="B127" s="49" t="s">
        <v>206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22" x14ac:dyDescent="0.2">
      <c r="B128" t="str">
        <f>CFS!B22</f>
        <v>Insurance reserve and float-related changes</v>
      </c>
      <c r="E128" s="22">
        <f>CFS!C22</f>
        <v>4980</v>
      </c>
      <c r="F128" s="22">
        <f>CFS!D22</f>
        <v>19557</v>
      </c>
      <c r="G128" s="22">
        <f>CFS!E22</f>
        <v>6417</v>
      </c>
      <c r="H128" s="22">
        <f>CFS!F22</f>
        <v>8151</v>
      </c>
      <c r="I128" s="22">
        <f>CFS!G22</f>
        <v>7713</v>
      </c>
      <c r="J128" s="22">
        <f>CFS!H22</f>
        <v>8703</v>
      </c>
      <c r="K128" s="22">
        <f>CFS!I22</f>
        <v>6687</v>
      </c>
      <c r="L128" s="22">
        <f>CFS!J22</f>
        <v>4857</v>
      </c>
      <c r="M128" s="22">
        <f>CFS!K22</f>
        <v>3247</v>
      </c>
      <c r="N128" s="22">
        <f>CFS!L22</f>
        <v>4213</v>
      </c>
      <c r="O128" s="22">
        <f>O129*'IS - Annual'!M11</f>
        <v>4491.6939918578391</v>
      </c>
      <c r="P128" s="22">
        <f>P129*'IS - Annual'!N11</f>
        <v>4769.2105113826765</v>
      </c>
      <c r="Q128" s="22">
        <f>Q129*'IS - Annual'!O11</f>
        <v>5063.873216455504</v>
      </c>
      <c r="R128" s="22">
        <f>R129*'IS - Annual'!P11</f>
        <v>5376.7414734857475</v>
      </c>
      <c r="S128" s="22">
        <f>S129*'IS - Annual'!Q11</f>
        <v>5708.9401011775335</v>
      </c>
      <c r="T128" s="22">
        <f>T129*'IS - Annual'!R11</f>
        <v>6061.6634144590034</v>
      </c>
    </row>
    <row r="129" spans="1:21" x14ac:dyDescent="0.2">
      <c r="B129" s="40" t="s">
        <v>207</v>
      </c>
      <c r="E129" s="53">
        <f>E128/'IS - Annual'!C11</f>
        <v>0.10854166212593448</v>
      </c>
      <c r="F129" s="53">
        <f>F128/'IS - Annual'!D11</f>
        <v>0.32273874944304176</v>
      </c>
      <c r="G129" s="53">
        <f>G128/'IS - Annual'!E11</f>
        <v>0.11175937859207914</v>
      </c>
      <c r="H129" s="53">
        <f>H128/'IS - Annual'!F11</f>
        <v>0.13345230688627657</v>
      </c>
      <c r="I129" s="53">
        <f>I128/'IS - Annual'!G11</f>
        <v>0.12165423258308229</v>
      </c>
      <c r="J129" s="53">
        <f>J128/'IS - Annual'!H11</f>
        <v>0.12526267307636949</v>
      </c>
      <c r="K129" s="53">
        <f>K128/'IS - Annual'!I11</f>
        <v>8.9584031080447449E-2</v>
      </c>
      <c r="L129" s="53">
        <f>L128/'IS - Annual'!J11</f>
        <v>5.8235315276428903E-2</v>
      </c>
      <c r="M129" s="53">
        <f>M128/'IS - Annual'!K11</f>
        <v>3.6790282923734097E-2</v>
      </c>
      <c r="N129" s="53">
        <f>N128/'IS - Annual'!L11</f>
        <v>4.7389260084137588E-2</v>
      </c>
      <c r="O129" s="53">
        <f>AVERAGE(L129:N129)</f>
        <v>4.7471619428100194E-2</v>
      </c>
      <c r="P129" s="53">
        <f>O129</f>
        <v>4.7471619428100194E-2</v>
      </c>
      <c r="Q129" s="53">
        <f t="shared" ref="Q129:T129" si="80">P129</f>
        <v>4.7471619428100194E-2</v>
      </c>
      <c r="R129" s="53">
        <f t="shared" si="80"/>
        <v>4.7471619428100194E-2</v>
      </c>
      <c r="S129" s="53">
        <f t="shared" si="80"/>
        <v>4.7471619428100194E-2</v>
      </c>
      <c r="T129" s="53">
        <f t="shared" si="80"/>
        <v>4.7471619428100194E-2</v>
      </c>
    </row>
    <row r="130" spans="1:21" x14ac:dyDescent="0.2"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1:21" x14ac:dyDescent="0.2">
      <c r="B131" t="str">
        <f>CFS!B30</f>
        <v>Other WC changes</v>
      </c>
      <c r="E131" s="22">
        <f>CFS!C30</f>
        <v>1941</v>
      </c>
      <c r="F131" s="22">
        <f>CFS!D30</f>
        <v>-27370</v>
      </c>
      <c r="G131" s="22">
        <f>CFS!E30</f>
        <v>-8230</v>
      </c>
      <c r="H131" s="22">
        <f>CFS!F30</f>
        <v>11057</v>
      </c>
      <c r="I131" s="22">
        <f>CFS!G30</f>
        <v>7853</v>
      </c>
      <c r="J131" s="22">
        <f>CFS!H30</f>
        <v>10166</v>
      </c>
      <c r="K131" s="22">
        <f>CFS!I30</f>
        <v>-21603</v>
      </c>
      <c r="L131" s="22">
        <f>CFS!J30</f>
        <v>15584</v>
      </c>
      <c r="M131" s="22">
        <f>CFS!K30</f>
        <v>-10031</v>
      </c>
      <c r="N131" s="22">
        <f>CFS!L30</f>
        <v>-1858</v>
      </c>
      <c r="O131" s="22">
        <f>O132*O$57</f>
        <v>1192.7510269070322</v>
      </c>
      <c r="P131" s="22">
        <f t="shared" ref="P131:T131" si="81">P132*P$57</f>
        <v>1242.6810852303763</v>
      </c>
      <c r="Q131" s="22">
        <f t="shared" si="81"/>
        <v>1288.5174691343434</v>
      </c>
      <c r="R131" s="22">
        <f t="shared" si="81"/>
        <v>1329.6341618282343</v>
      </c>
      <c r="S131" s="22">
        <f t="shared" si="81"/>
        <v>1365.4606127710583</v>
      </c>
      <c r="T131" s="22">
        <f t="shared" si="81"/>
        <v>1395.4970775996485</v>
      </c>
    </row>
    <row r="132" spans="1:21" x14ac:dyDescent="0.2">
      <c r="B132" s="40" t="s">
        <v>208</v>
      </c>
      <c r="E132" s="53">
        <f>E131/E$57</f>
        <v>9.3480449052914458E-3</v>
      </c>
      <c r="F132" s="53">
        <f t="shared" ref="F132:N132" si="82">F131/F$57</f>
        <v>-0.11815391522445791</v>
      </c>
      <c r="G132" s="53">
        <f t="shared" si="82"/>
        <v>-3.3207309643031507E-2</v>
      </c>
      <c r="H132" s="53">
        <f t="shared" si="82"/>
        <v>4.3426179030383011E-2</v>
      </c>
      <c r="I132" s="53">
        <f t="shared" si="82"/>
        <v>3.1986477129241173E-2</v>
      </c>
      <c r="J132" s="53">
        <f t="shared" si="82"/>
        <v>3.6820792918353891E-2</v>
      </c>
      <c r="K132" s="53">
        <f t="shared" si="82"/>
        <v>-7.1512037843152187E-2</v>
      </c>
      <c r="L132" s="53">
        <f t="shared" si="82"/>
        <v>4.2756569597401241E-2</v>
      </c>
      <c r="M132" s="53">
        <f t="shared" si="82"/>
        <v>-2.7006216464342155E-2</v>
      </c>
      <c r="N132" s="53">
        <f t="shared" si="82"/>
        <v>-5.0020999127728541E-3</v>
      </c>
      <c r="O132" s="53">
        <f>AVERAGE(G132:N132,E132)</f>
        <v>3.0678221908191183E-3</v>
      </c>
      <c r="P132" s="53">
        <f>O132</f>
        <v>3.0678221908191183E-3</v>
      </c>
      <c r="Q132" s="53">
        <f t="shared" ref="Q132:T132" si="83">P132</f>
        <v>3.0678221908191183E-3</v>
      </c>
      <c r="R132" s="53">
        <f t="shared" si="83"/>
        <v>3.0678221908191183E-3</v>
      </c>
      <c r="S132" s="53">
        <f t="shared" si="83"/>
        <v>3.0678221908191183E-3</v>
      </c>
      <c r="T132" s="53">
        <f t="shared" si="83"/>
        <v>3.0678221908191183E-3</v>
      </c>
    </row>
    <row r="133" spans="1:21" x14ac:dyDescent="0.2"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1:21" x14ac:dyDescent="0.2">
      <c r="B134" s="143" t="s">
        <v>151</v>
      </c>
      <c r="C134" s="144"/>
      <c r="D134" s="144"/>
      <c r="E134" s="145">
        <f>SUM(E131+E128)</f>
        <v>6921</v>
      </c>
      <c r="F134" s="145">
        <f t="shared" ref="F134:N134" si="84">SUM(F131+F128)</f>
        <v>-7813</v>
      </c>
      <c r="G134" s="145">
        <f t="shared" si="84"/>
        <v>-1813</v>
      </c>
      <c r="H134" s="145">
        <f t="shared" si="84"/>
        <v>19208</v>
      </c>
      <c r="I134" s="145">
        <f t="shared" si="84"/>
        <v>15566</v>
      </c>
      <c r="J134" s="145">
        <f t="shared" si="84"/>
        <v>18869</v>
      </c>
      <c r="K134" s="145">
        <f t="shared" si="84"/>
        <v>-14916</v>
      </c>
      <c r="L134" s="145">
        <f t="shared" si="84"/>
        <v>20441</v>
      </c>
      <c r="M134" s="145">
        <f t="shared" si="84"/>
        <v>-6784</v>
      </c>
      <c r="N134" s="145">
        <f t="shared" si="84"/>
        <v>2355</v>
      </c>
      <c r="O134" s="145">
        <f t="shared" ref="O134:P134" si="85">SUM(O131+O128)</f>
        <v>5684.4450187648708</v>
      </c>
      <c r="P134" s="145">
        <f t="shared" si="85"/>
        <v>6011.8915966130526</v>
      </c>
      <c r="Q134" s="145">
        <f t="shared" ref="Q134:R134" si="86">SUM(Q131+Q128)</f>
        <v>6352.3906855898476</v>
      </c>
      <c r="R134" s="145">
        <f t="shared" si="86"/>
        <v>6706.3756353139815</v>
      </c>
      <c r="S134" s="145">
        <f t="shared" ref="S134:T134" si="87">SUM(S131+S128)</f>
        <v>7074.4007139485921</v>
      </c>
      <c r="T134" s="146">
        <f t="shared" si="87"/>
        <v>7457.1604920586524</v>
      </c>
    </row>
    <row r="135" spans="1:21" s="39" customFormat="1" x14ac:dyDescent="0.2">
      <c r="B135" s="151" t="s">
        <v>208</v>
      </c>
      <c r="C135" s="152"/>
      <c r="D135" s="152"/>
      <c r="E135" s="153">
        <f>E134/E$57</f>
        <v>3.333220957729114E-2</v>
      </c>
      <c r="F135" s="153">
        <f t="shared" ref="F135:T135" si="88">F134/F$57</f>
        <v>-3.3728043100061729E-2</v>
      </c>
      <c r="G135" s="153">
        <f t="shared" si="88"/>
        <v>-7.315291905566965E-3</v>
      </c>
      <c r="H135" s="153">
        <f t="shared" si="88"/>
        <v>7.5439092594338147E-2</v>
      </c>
      <c r="I135" s="153">
        <f t="shared" si="88"/>
        <v>6.3402712720459456E-2</v>
      </c>
      <c r="J135" s="153">
        <f t="shared" si="88"/>
        <v>6.834266590364152E-2</v>
      </c>
      <c r="K135" s="153">
        <f t="shared" si="88"/>
        <v>-4.9376177219296297E-2</v>
      </c>
      <c r="L135" s="153">
        <f t="shared" si="88"/>
        <v>5.6082330540328469E-2</v>
      </c>
      <c r="M135" s="153">
        <f t="shared" si="88"/>
        <v>-1.8264397616797646E-2</v>
      </c>
      <c r="N135" s="153">
        <f t="shared" si="88"/>
        <v>6.340121256501653E-3</v>
      </c>
      <c r="O135" s="153">
        <f t="shared" si="88"/>
        <v>1.4620709752209944E-2</v>
      </c>
      <c r="P135" s="153">
        <f t="shared" si="88"/>
        <v>1.4841631266536372E-2</v>
      </c>
      <c r="Q135" s="153">
        <f t="shared" si="88"/>
        <v>1.5124362359710737E-2</v>
      </c>
      <c r="R135" s="153">
        <f t="shared" si="88"/>
        <v>1.547340507985737E-2</v>
      </c>
      <c r="S135" s="153">
        <f t="shared" si="88"/>
        <v>1.5894272814617586E-2</v>
      </c>
      <c r="T135" s="154">
        <f t="shared" si="88"/>
        <v>1.6393615440160998E-2</v>
      </c>
    </row>
    <row r="137" spans="1:21" x14ac:dyDescent="0.2">
      <c r="A137" t="s">
        <v>126</v>
      </c>
      <c r="B137" s="34" t="s">
        <v>121</v>
      </c>
      <c r="C137" s="34"/>
      <c r="D137" s="34"/>
      <c r="E137" s="36">
        <f>F137-365</f>
        <v>42735</v>
      </c>
      <c r="F137" s="36">
        <f>G137-365</f>
        <v>43100</v>
      </c>
      <c r="G137" s="36">
        <f>H137-365</f>
        <v>43465</v>
      </c>
      <c r="H137" s="36">
        <f>I137-366</f>
        <v>43830</v>
      </c>
      <c r="I137" s="36">
        <f>J137-365</f>
        <v>44196</v>
      </c>
      <c r="J137" s="36">
        <v>44561</v>
      </c>
      <c r="K137" s="36">
        <f>J137+365</f>
        <v>44926</v>
      </c>
      <c r="L137" s="36">
        <f t="shared" ref="L137:T137" si="89">K137+365</f>
        <v>45291</v>
      </c>
      <c r="M137" s="36">
        <f t="shared" si="89"/>
        <v>45656</v>
      </c>
      <c r="N137" s="36">
        <f t="shared" si="89"/>
        <v>46021</v>
      </c>
      <c r="O137" s="38">
        <f t="shared" si="89"/>
        <v>46386</v>
      </c>
      <c r="P137" s="38">
        <f t="shared" si="89"/>
        <v>46751</v>
      </c>
      <c r="Q137" s="38">
        <f t="shared" si="89"/>
        <v>47116</v>
      </c>
      <c r="R137" s="38">
        <f t="shared" si="89"/>
        <v>47481</v>
      </c>
      <c r="S137" s="38">
        <f t="shared" si="89"/>
        <v>47846</v>
      </c>
      <c r="T137" s="38">
        <f t="shared" si="89"/>
        <v>48211</v>
      </c>
      <c r="U137" s="37"/>
    </row>
    <row r="138" spans="1:21" ht="5" customHeight="1" x14ac:dyDescent="0.2"/>
    <row r="139" spans="1:21" x14ac:dyDescent="0.2">
      <c r="B139" t="s">
        <v>137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>
        <f t="shared" ref="O139:T140" si="90">O57</f>
        <v>388794.05412624771</v>
      </c>
      <c r="P139" s="22">
        <f t="shared" si="90"/>
        <v>405069.4622880267</v>
      </c>
      <c r="Q139" s="22">
        <f t="shared" si="90"/>
        <v>420010.47941774788</v>
      </c>
      <c r="R139" s="22">
        <f t="shared" si="90"/>
        <v>433413.04649511568</v>
      </c>
      <c r="S139" s="22">
        <f t="shared" si="90"/>
        <v>445091.18450782052</v>
      </c>
      <c r="T139" s="22">
        <f t="shared" si="90"/>
        <v>454881.99471790326</v>
      </c>
    </row>
    <row r="140" spans="1:21" s="39" customFormat="1" x14ac:dyDescent="0.2">
      <c r="B140" s="40" t="s">
        <v>135</v>
      </c>
      <c r="E140" s="23"/>
      <c r="F140" s="53"/>
      <c r="G140" s="53"/>
      <c r="H140" s="53"/>
      <c r="I140" s="53"/>
      <c r="J140" s="53"/>
      <c r="K140" s="53"/>
      <c r="L140" s="53"/>
      <c r="M140" s="53"/>
      <c r="N140" s="53"/>
      <c r="O140" s="53">
        <f t="shared" si="90"/>
        <v>4.6709743935149595E-2</v>
      </c>
      <c r="P140" s="53">
        <f t="shared" si="90"/>
        <v>4.186125787945838E-2</v>
      </c>
      <c r="Q140" s="53">
        <f t="shared" si="90"/>
        <v>3.6885074094026082E-2</v>
      </c>
      <c r="R140" s="53">
        <f t="shared" si="90"/>
        <v>3.191007780555255E-2</v>
      </c>
      <c r="S140" s="53">
        <f t="shared" si="90"/>
        <v>2.694459270929328E-2</v>
      </c>
      <c r="T140" s="53">
        <f t="shared" si="90"/>
        <v>2.1997313249215056E-2</v>
      </c>
    </row>
    <row r="142" spans="1:21" x14ac:dyDescent="0.2">
      <c r="B142" t="s">
        <v>144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>
        <f t="shared" ref="O142:T143" si="91">O90</f>
        <v>49074.955544739838</v>
      </c>
      <c r="P142" s="22">
        <f t="shared" si="91"/>
        <v>51817.616400598119</v>
      </c>
      <c r="Q142" s="22">
        <f t="shared" si="91"/>
        <v>54233.278965311314</v>
      </c>
      <c r="R142" s="22">
        <f t="shared" si="91"/>
        <v>56630.890560576619</v>
      </c>
      <c r="S142" s="22">
        <f t="shared" si="91"/>
        <v>59001.143179078921</v>
      </c>
      <c r="T142" s="22">
        <f t="shared" si="91"/>
        <v>61335.944379505148</v>
      </c>
    </row>
    <row r="143" spans="1:21" s="39" customFormat="1" x14ac:dyDescent="0.2">
      <c r="B143" s="40" t="s">
        <v>142</v>
      </c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>
        <f t="shared" si="91"/>
        <v>0.12622352380112378</v>
      </c>
      <c r="P143" s="53">
        <f t="shared" si="91"/>
        <v>0.12792279158223224</v>
      </c>
      <c r="Q143" s="53">
        <f t="shared" si="91"/>
        <v>0.12912363291624016</v>
      </c>
      <c r="R143" s="53">
        <f t="shared" si="91"/>
        <v>0.13066263468193687</v>
      </c>
      <c r="S143" s="53">
        <f t="shared" si="91"/>
        <v>0.13255967593319573</v>
      </c>
      <c r="T143" s="53">
        <f t="shared" si="91"/>
        <v>0.1348392442254015</v>
      </c>
    </row>
    <row r="145" spans="1:20" x14ac:dyDescent="0.2">
      <c r="B145" t="s">
        <v>145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>
        <f t="shared" ref="O145:T145" si="92">-O142*O146</f>
        <v>-10305.740664395365</v>
      </c>
      <c r="P145" s="22">
        <f t="shared" si="92"/>
        <v>-10881.699444125605</v>
      </c>
      <c r="Q145" s="22">
        <f t="shared" si="92"/>
        <v>-11388.988582715376</v>
      </c>
      <c r="R145" s="22">
        <f t="shared" si="92"/>
        <v>-11892.487017721091</v>
      </c>
      <c r="S145" s="22">
        <f t="shared" si="92"/>
        <v>-12390.240067606574</v>
      </c>
      <c r="T145" s="22">
        <f t="shared" si="92"/>
        <v>-12880.548319696081</v>
      </c>
    </row>
    <row r="146" spans="1:20" s="39" customFormat="1" x14ac:dyDescent="0.2">
      <c r="B146" s="40" t="s">
        <v>147</v>
      </c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9">
        <f t="shared" ref="O146:T146" si="93">$E$26</f>
        <v>0.21</v>
      </c>
      <c r="P146" s="59">
        <f t="shared" si="93"/>
        <v>0.21</v>
      </c>
      <c r="Q146" s="59">
        <f t="shared" si="93"/>
        <v>0.21</v>
      </c>
      <c r="R146" s="59">
        <f t="shared" si="93"/>
        <v>0.21</v>
      </c>
      <c r="S146" s="59">
        <f t="shared" si="93"/>
        <v>0.21</v>
      </c>
      <c r="T146" s="59">
        <f t="shared" si="93"/>
        <v>0.21</v>
      </c>
    </row>
    <row r="148" spans="1:20" x14ac:dyDescent="0.2">
      <c r="B148" t="s">
        <v>156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>
        <f t="shared" ref="O148" si="94">O142+O145</f>
        <v>38769.214880344472</v>
      </c>
      <c r="P148" s="22">
        <f>P142+P145</f>
        <v>40935.916956472516</v>
      </c>
      <c r="Q148" s="22">
        <f>Q142+Q145</f>
        <v>42844.290382595937</v>
      </c>
      <c r="R148" s="22">
        <f>R142+R145</f>
        <v>44738.403542855529</v>
      </c>
      <c r="S148" s="22">
        <f>S142+S145</f>
        <v>46610.903111472348</v>
      </c>
      <c r="T148" s="22">
        <f>T142+T145</f>
        <v>48455.396059809063</v>
      </c>
    </row>
    <row r="149" spans="1:20" s="39" customFormat="1" x14ac:dyDescent="0.2">
      <c r="B149" s="40"/>
    </row>
    <row r="150" spans="1:20" x14ac:dyDescent="0.2">
      <c r="B150" t="s">
        <v>149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>
        <f t="shared" ref="O150:T150" si="95">O114</f>
        <v>13421.926074491106</v>
      </c>
      <c r="P150" s="22">
        <f t="shared" si="95"/>
        <v>14051.30850423457</v>
      </c>
      <c r="Q150" s="22">
        <f t="shared" si="95"/>
        <v>14581.038997279797</v>
      </c>
      <c r="R150" s="22">
        <f t="shared" si="95"/>
        <v>14860.499123338714</v>
      </c>
      <c r="S150" s="22">
        <f t="shared" si="95"/>
        <v>15263.055254658055</v>
      </c>
      <c r="T150" s="22">
        <f t="shared" si="95"/>
        <v>15576.25433353177</v>
      </c>
    </row>
    <row r="151" spans="1:20" x14ac:dyDescent="0.2">
      <c r="B151" s="40" t="s">
        <v>208</v>
      </c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>
        <f t="shared" ref="O151:T151" si="96">O115</f>
        <v>3.6831430682110256E-2</v>
      </c>
      <c r="P151" s="53">
        <f t="shared" si="96"/>
        <v>3.7028630283403828E-2</v>
      </c>
      <c r="Q151" s="53">
        <f t="shared" si="96"/>
        <v>3.7089368155551153E-2</v>
      </c>
      <c r="R151" s="53">
        <f t="shared" si="96"/>
        <v>3.6675271349572644E-2</v>
      </c>
      <c r="S151" s="53">
        <f t="shared" si="96"/>
        <v>3.6737875343714574E-2</v>
      </c>
      <c r="T151" s="53">
        <f t="shared" si="96"/>
        <v>3.675660725309339E-2</v>
      </c>
    </row>
    <row r="152" spans="1:20" x14ac:dyDescent="0.2">
      <c r="E152" s="22"/>
      <c r="F152" s="22"/>
      <c r="G152" s="22"/>
      <c r="H152" s="22"/>
      <c r="I152" s="22"/>
      <c r="J152" s="22"/>
      <c r="K152" s="22"/>
      <c r="L152" s="22"/>
      <c r="M152" s="22"/>
      <c r="N152" s="22"/>
    </row>
    <row r="153" spans="1:20" x14ac:dyDescent="0.2">
      <c r="B153" t="s">
        <v>150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>
        <f t="shared" ref="O153:T153" si="97">O124</f>
        <v>19605.325594267437</v>
      </c>
      <c r="P153" s="22">
        <f t="shared" si="97"/>
        <v>20279.045584909898</v>
      </c>
      <c r="Q153" s="22">
        <f t="shared" si="97"/>
        <v>20903.5337828298</v>
      </c>
      <c r="R153" s="22">
        <f t="shared" si="97"/>
        <v>21472.265025515837</v>
      </c>
      <c r="S153" s="22">
        <f t="shared" si="97"/>
        <v>21979.168869960675</v>
      </c>
      <c r="T153" s="22">
        <f t="shared" si="97"/>
        <v>22418.752247359887</v>
      </c>
    </row>
    <row r="154" spans="1:20" x14ac:dyDescent="0.2">
      <c r="B154" s="40" t="s">
        <v>208</v>
      </c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>
        <f t="shared" ref="O154:T154" si="98">O125</f>
        <v>5.3799446265601736E-2</v>
      </c>
      <c r="P154" s="53">
        <f t="shared" si="98"/>
        <v>5.3440238767629718E-2</v>
      </c>
      <c r="Q154" s="53">
        <f t="shared" si="98"/>
        <v>5.3171715703388023E-2</v>
      </c>
      <c r="R154" s="53">
        <f t="shared" si="98"/>
        <v>5.2992913613779308E-2</v>
      </c>
      <c r="S154" s="53">
        <f t="shared" si="98"/>
        <v>5.2903429400652929E-2</v>
      </c>
      <c r="T154" s="53">
        <f t="shared" si="98"/>
        <v>5.2903429400652922E-2</v>
      </c>
    </row>
    <row r="155" spans="1:20" x14ac:dyDescent="0.2">
      <c r="E155" s="22"/>
      <c r="F155" s="22"/>
      <c r="G155" s="22"/>
      <c r="H155" s="22"/>
      <c r="I155" s="22"/>
      <c r="J155" s="22"/>
      <c r="K155" s="22"/>
      <c r="L155" s="22"/>
      <c r="M155" s="22"/>
      <c r="N155" s="22"/>
    </row>
    <row r="156" spans="1:20" x14ac:dyDescent="0.2">
      <c r="B156" t="s">
        <v>151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>
        <f t="shared" ref="O156:T156" si="99">O134</f>
        <v>5684.4450187648708</v>
      </c>
      <c r="P156" s="22">
        <f t="shared" si="99"/>
        <v>6011.8915966130526</v>
      </c>
      <c r="Q156" s="22">
        <f t="shared" si="99"/>
        <v>6352.3906855898476</v>
      </c>
      <c r="R156" s="22">
        <f t="shared" si="99"/>
        <v>6706.3756353139815</v>
      </c>
      <c r="S156" s="22">
        <f t="shared" si="99"/>
        <v>7074.4007139485921</v>
      </c>
      <c r="T156" s="22">
        <f t="shared" si="99"/>
        <v>7457.1604920586524</v>
      </c>
    </row>
    <row r="157" spans="1:20" x14ac:dyDescent="0.2">
      <c r="B157" s="40" t="s">
        <v>208</v>
      </c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>
        <f t="shared" ref="O157:T157" si="100">O135</f>
        <v>1.4620709752209944E-2</v>
      </c>
      <c r="P157" s="53">
        <f t="shared" si="100"/>
        <v>1.4841631266536372E-2</v>
      </c>
      <c r="Q157" s="53">
        <f t="shared" si="100"/>
        <v>1.5124362359710737E-2</v>
      </c>
      <c r="R157" s="53">
        <f t="shared" si="100"/>
        <v>1.547340507985737E-2</v>
      </c>
      <c r="S157" s="53">
        <f t="shared" si="100"/>
        <v>1.5894272814617586E-2</v>
      </c>
      <c r="T157" s="53">
        <f t="shared" si="100"/>
        <v>1.6393615440160998E-2</v>
      </c>
    </row>
    <row r="159" spans="1:20" x14ac:dyDescent="0.2">
      <c r="A159" t="s">
        <v>126</v>
      </c>
      <c r="B159" s="143" t="s">
        <v>157</v>
      </c>
      <c r="C159" s="144"/>
      <c r="D159" s="144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>
        <f t="shared" ref="O159" si="101">O148+O150-O153-O156</f>
        <v>26901.370341803275</v>
      </c>
      <c r="P159" s="145">
        <f>P148+P150-P153-P156</f>
        <v>28696.288279184133</v>
      </c>
      <c r="Q159" s="145">
        <f>Q148+Q150-Q153-Q156</f>
        <v>30169.404911456091</v>
      </c>
      <c r="R159" s="145">
        <f>R148+R150-R153-R156</f>
        <v>31420.26200536442</v>
      </c>
      <c r="S159" s="145">
        <f>S148+S150-S153-S156</f>
        <v>32820.38878222114</v>
      </c>
      <c r="T159" s="146">
        <f>T148+T150-T153-T156</f>
        <v>34155.73765392229</v>
      </c>
    </row>
    <row r="160" spans="1:20" x14ac:dyDescent="0.2">
      <c r="B160" s="147" t="s">
        <v>158</v>
      </c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9">
        <f t="shared" ref="O160:T160" ca="1" si="102">O159/(1+WACC)^O163</f>
        <v>26595.799640101868</v>
      </c>
      <c r="P160" s="149">
        <f t="shared" ca="1" si="102"/>
        <v>27236.121687061626</v>
      </c>
      <c r="Q160" s="149">
        <f t="shared" ca="1" si="102"/>
        <v>27000.435238061531</v>
      </c>
      <c r="R160" s="149">
        <f t="shared" ca="1" si="102"/>
        <v>26515.407441999945</v>
      </c>
      <c r="S160" s="149">
        <f t="shared" ca="1" si="102"/>
        <v>26116.604109377571</v>
      </c>
      <c r="T160" s="150">
        <f t="shared" ca="1" si="102"/>
        <v>25628.378855544877</v>
      </c>
    </row>
    <row r="162" spans="2:20" x14ac:dyDescent="0.2">
      <c r="B162" t="s">
        <v>250</v>
      </c>
      <c r="O162" s="136">
        <f ca="1">YEARFRAC(E6,E7)</f>
        <v>0.3888888888888889</v>
      </c>
    </row>
    <row r="163" spans="2:20" x14ac:dyDescent="0.2">
      <c r="B163" t="s">
        <v>251</v>
      </c>
      <c r="O163" s="136">
        <f ca="1">O162/2</f>
        <v>0.19444444444444445</v>
      </c>
      <c r="P163" s="136">
        <f ca="1">O162+0.5</f>
        <v>0.88888888888888884</v>
      </c>
      <c r="Q163" s="136">
        <f ca="1">P163+1</f>
        <v>1.8888888888888888</v>
      </c>
      <c r="R163" s="136">
        <f t="shared" ref="R163:T163" ca="1" si="103">Q163+1</f>
        <v>2.8888888888888888</v>
      </c>
      <c r="S163" s="136">
        <f t="shared" ca="1" si="103"/>
        <v>3.8888888888888888</v>
      </c>
      <c r="T163" s="136">
        <f t="shared" ca="1" si="103"/>
        <v>4.8888888888888893</v>
      </c>
    </row>
    <row r="165" spans="2:20" x14ac:dyDescent="0.2">
      <c r="B165" t="s">
        <v>252</v>
      </c>
      <c r="T165" s="22">
        <f>H183</f>
        <v>974078.19950127276</v>
      </c>
    </row>
    <row r="166" spans="2:20" x14ac:dyDescent="0.2">
      <c r="B166" t="s">
        <v>253</v>
      </c>
      <c r="T166" s="22">
        <f ca="1">H184</f>
        <v>730888.7714471271</v>
      </c>
    </row>
    <row r="168" spans="2:20" x14ac:dyDescent="0.2">
      <c r="B168" t="s">
        <v>254</v>
      </c>
      <c r="T168" s="22">
        <f ca="1">SUM(T166,O160:T160)</f>
        <v>889981.51841927459</v>
      </c>
    </row>
    <row r="169" spans="2:20" x14ac:dyDescent="0.2">
      <c r="B169" s="76" t="s">
        <v>255</v>
      </c>
      <c r="T169" s="22">
        <f>'Historical Equity Holding'!L12</f>
        <v>297778</v>
      </c>
    </row>
    <row r="170" spans="2:20" x14ac:dyDescent="0.2">
      <c r="B170" s="76" t="s">
        <v>256</v>
      </c>
      <c r="T170" s="22">
        <f>'Historical Equity Holding'!L9</f>
        <v>47719</v>
      </c>
    </row>
    <row r="171" spans="2:20" x14ac:dyDescent="0.2">
      <c r="B171" s="76" t="s">
        <v>257</v>
      </c>
      <c r="T171" s="22">
        <f>-WACC!I31</f>
        <v>-129081</v>
      </c>
    </row>
    <row r="172" spans="2:20" x14ac:dyDescent="0.2">
      <c r="B172" s="140" t="s">
        <v>258</v>
      </c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2">
        <f ca="1">SUM(T168:T171)</f>
        <v>1106397.5184192746</v>
      </c>
    </row>
    <row r="174" spans="2:20" x14ac:dyDescent="0.2">
      <c r="B174" t="s">
        <v>259</v>
      </c>
      <c r="T174" s="139">
        <f>('IS - Annual'!L73*1500)</f>
        <v>2157.3344999999999</v>
      </c>
    </row>
    <row r="175" spans="2:20" x14ac:dyDescent="0.2">
      <c r="B175" s="140" t="s">
        <v>260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95">
        <f ca="1">T172/T174</f>
        <v>512.85394936171213</v>
      </c>
    </row>
    <row r="177" spans="1:28" x14ac:dyDescent="0.2">
      <c r="A177" s="93" t="s">
        <v>126</v>
      </c>
      <c r="B177" s="176" t="s">
        <v>265</v>
      </c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V177" s="34" t="s">
        <v>261</v>
      </c>
      <c r="W177" s="34"/>
      <c r="X177" s="34"/>
      <c r="Y177" s="34"/>
      <c r="Z177" s="34"/>
      <c r="AA177" s="34"/>
      <c r="AB177" s="34"/>
    </row>
    <row r="178" spans="1:28" ht="5" customHeight="1" x14ac:dyDescent="0.2">
      <c r="A178" s="93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V178" s="48"/>
      <c r="W178" s="48"/>
      <c r="X178" s="48"/>
      <c r="Y178" s="48"/>
      <c r="Z178" s="48"/>
      <c r="AA178" s="48"/>
      <c r="AB178" s="48"/>
    </row>
    <row r="179" spans="1:28" x14ac:dyDescent="0.2">
      <c r="A179" s="93"/>
      <c r="B179" s="177" t="s">
        <v>254</v>
      </c>
      <c r="C179" s="178"/>
      <c r="D179" s="178"/>
      <c r="E179" s="178"/>
      <c r="F179" s="178"/>
      <c r="G179" s="178"/>
      <c r="H179" s="178"/>
      <c r="I179" s="93"/>
      <c r="J179" s="177" t="s">
        <v>266</v>
      </c>
      <c r="K179" s="178"/>
      <c r="L179" s="178"/>
      <c r="M179" s="178"/>
      <c r="N179" s="178"/>
      <c r="O179" s="93"/>
      <c r="P179" s="177" t="s">
        <v>267</v>
      </c>
      <c r="Q179" s="178"/>
      <c r="R179" s="178"/>
      <c r="S179" s="178"/>
      <c r="T179" s="178"/>
      <c r="V179" s="192" t="s">
        <v>161</v>
      </c>
      <c r="W179" s="193"/>
      <c r="X179" s="193"/>
      <c r="Y179" s="193"/>
      <c r="Z179" s="193"/>
      <c r="AA179" s="193"/>
      <c r="AB179" s="194"/>
    </row>
    <row r="180" spans="1:28" x14ac:dyDescent="0.2">
      <c r="A180" s="93"/>
      <c r="B180" s="93" t="s">
        <v>268</v>
      </c>
      <c r="C180" s="93"/>
      <c r="D180" s="93"/>
      <c r="E180" s="93"/>
      <c r="F180" s="93"/>
      <c r="G180" s="93"/>
      <c r="H180" s="179">
        <v>0.75</v>
      </c>
      <c r="I180" s="93"/>
      <c r="J180" s="93" t="s">
        <v>269</v>
      </c>
      <c r="K180" s="93"/>
      <c r="L180" s="93"/>
      <c r="M180" s="93"/>
      <c r="N180" s="100">
        <f>TGR</f>
        <v>0.02</v>
      </c>
      <c r="O180" s="93"/>
      <c r="P180" s="93" t="s">
        <v>270</v>
      </c>
      <c r="Q180" s="93"/>
      <c r="R180" s="93"/>
      <c r="S180" s="93"/>
      <c r="T180" s="181">
        <f>T96</f>
        <v>76912.198713036923</v>
      </c>
      <c r="V180" s="161"/>
      <c r="W180" s="159">
        <f ca="1">T175</f>
        <v>512.85394936171213</v>
      </c>
      <c r="X180" s="156">
        <f>Y180+0.5%</f>
        <v>7.0511832037507785E-2</v>
      </c>
      <c r="Y180" s="156">
        <f>Z180+0.5%</f>
        <v>6.5511832037507781E-2</v>
      </c>
      <c r="Z180" s="156">
        <v>6.0511832037507783E-2</v>
      </c>
      <c r="AA180" s="156">
        <f>Z180-0.5%</f>
        <v>5.5511832037507786E-2</v>
      </c>
      <c r="AB180" s="164">
        <f t="shared" ref="AB180" si="104">AA180-0.5%</f>
        <v>5.0511832037507788E-2</v>
      </c>
    </row>
    <row r="181" spans="1:28" x14ac:dyDescent="0.2">
      <c r="A181" s="93"/>
      <c r="B181" s="93" t="s">
        <v>271</v>
      </c>
      <c r="C181" s="93"/>
      <c r="D181" s="93"/>
      <c r="E181" s="93"/>
      <c r="F181" s="93"/>
      <c r="G181" s="93"/>
      <c r="H181" s="182">
        <f>1-H180</f>
        <v>0.25</v>
      </c>
      <c r="I181" s="93"/>
      <c r="J181" s="93" t="s">
        <v>252</v>
      </c>
      <c r="K181" s="93"/>
      <c r="L181" s="93"/>
      <c r="M181" s="93"/>
      <c r="N181" s="181">
        <f>T159*(1+TGR)/(WACC-TGR)</f>
        <v>859967.339288563</v>
      </c>
      <c r="O181" s="93"/>
      <c r="P181" s="93" t="s">
        <v>272</v>
      </c>
      <c r="Q181" s="93"/>
      <c r="R181" s="93"/>
      <c r="S181" s="93"/>
      <c r="T181" s="198">
        <v>17.115760596716179</v>
      </c>
      <c r="V181" s="161"/>
      <c r="W181" s="158">
        <f>W182-0.5%</f>
        <v>9.9999999999999985E-3</v>
      </c>
      <c r="X181" s="167">
        <f t="dataTable" ref="X181:AB185" dt2D="1" dtr="1" r1="E27" r2="E28" ca="1"/>
        <v>423.79281988637962</v>
      </c>
      <c r="Y181" s="167">
        <v>443.51536005030522</v>
      </c>
      <c r="Z181" s="167">
        <v>466.67910668101615</v>
      </c>
      <c r="AA181" s="167">
        <v>494.3959900566885</v>
      </c>
      <c r="AB181" s="167">
        <v>528.32576493486624</v>
      </c>
    </row>
    <row r="182" spans="1:28" x14ac:dyDescent="0.2">
      <c r="A182" s="93"/>
      <c r="B182" s="93"/>
      <c r="C182" s="93"/>
      <c r="D182" s="93"/>
      <c r="E182" s="93"/>
      <c r="F182" s="93"/>
      <c r="G182" s="93"/>
      <c r="H182" s="93"/>
      <c r="I182" s="93"/>
      <c r="J182" s="93" t="s">
        <v>253</v>
      </c>
      <c r="K182" s="93"/>
      <c r="L182" s="93"/>
      <c r="M182" s="93"/>
      <c r="N182" s="181">
        <f ca="1">N181/(1+WACC)^$T$163</f>
        <v>645266.95332991204</v>
      </c>
      <c r="O182" s="93"/>
      <c r="P182" s="93" t="s">
        <v>252</v>
      </c>
      <c r="Q182" s="93"/>
      <c r="R182" s="93"/>
      <c r="S182" s="93"/>
      <c r="T182" s="181">
        <f>T181*T180</f>
        <v>1316410.7801394023</v>
      </c>
      <c r="V182" s="161"/>
      <c r="W182" s="158">
        <f>W183-0.5%</f>
        <v>1.4999999999999999E-2</v>
      </c>
      <c r="X182" s="167">
        <v>437.35325547491578</v>
      </c>
      <c r="Y182" s="167">
        <v>460.05887129977589</v>
      </c>
      <c r="Z182" s="167">
        <v>487.23010833589416</v>
      </c>
      <c r="AA182" s="167">
        <v>520.49510826827645</v>
      </c>
      <c r="AB182" s="167">
        <v>562.39768253874263</v>
      </c>
    </row>
    <row r="183" spans="1:28" x14ac:dyDescent="0.2">
      <c r="A183" s="93"/>
      <c r="B183" s="93" t="s">
        <v>273</v>
      </c>
      <c r="C183" s="93"/>
      <c r="D183" s="93"/>
      <c r="E183" s="93"/>
      <c r="F183" s="93"/>
      <c r="G183" s="93"/>
      <c r="H183" s="181">
        <f>(H180*N181)+(H181*T182)</f>
        <v>974078.19950127276</v>
      </c>
      <c r="I183" s="93"/>
      <c r="O183" s="93"/>
      <c r="P183" s="93" t="s">
        <v>253</v>
      </c>
      <c r="Q183" s="93"/>
      <c r="R183" s="93"/>
      <c r="S183" s="93"/>
      <c r="T183" s="181">
        <f ca="1">T182/(1+WACC)^$T$163</f>
        <v>987754.22579877242</v>
      </c>
      <c r="V183" s="162" t="s">
        <v>162</v>
      </c>
      <c r="W183" s="158">
        <v>0.02</v>
      </c>
      <c r="X183" s="167">
        <v>453.59829683630659</v>
      </c>
      <c r="Y183" s="167">
        <v>480.23737382708299</v>
      </c>
      <c r="Z183" s="167">
        <v>512.85394936171213</v>
      </c>
      <c r="AA183" s="167">
        <v>553.94364122817183</v>
      </c>
      <c r="AB183" s="167">
        <v>607.63638867304633</v>
      </c>
    </row>
    <row r="184" spans="1:28" x14ac:dyDescent="0.2">
      <c r="A184" s="93"/>
      <c r="B184" s="93" t="s">
        <v>253</v>
      </c>
      <c r="C184" s="93"/>
      <c r="D184" s="93"/>
      <c r="E184" s="93"/>
      <c r="F184" s="93"/>
      <c r="G184" s="93"/>
      <c r="H184" s="181">
        <f ca="1">H183/(1+WACC)^$T$163</f>
        <v>730888.7714471271</v>
      </c>
      <c r="I184" s="93"/>
      <c r="J184" s="104" t="s">
        <v>274</v>
      </c>
      <c r="K184" s="104"/>
      <c r="L184" s="104"/>
      <c r="M184" s="104"/>
      <c r="N184" s="184">
        <f ca="1">N182+SUM(O160:T160)</f>
        <v>804359.70030205941</v>
      </c>
      <c r="O184" s="93"/>
      <c r="P184" s="104" t="s">
        <v>274</v>
      </c>
      <c r="Q184" s="104"/>
      <c r="R184" s="104"/>
      <c r="S184" s="104"/>
      <c r="T184" s="184">
        <f ca="1">T183+SUM(O160:T160)</f>
        <v>1146846.9727709198</v>
      </c>
      <c r="V184" s="161"/>
      <c r="W184" s="158">
        <f>W183+0.5%</f>
        <v>2.5000000000000001E-2</v>
      </c>
      <c r="X184" s="167">
        <v>473.41274875185911</v>
      </c>
      <c r="Y184" s="167">
        <v>505.39676749469334</v>
      </c>
      <c r="Z184" s="167">
        <v>545.69336884564916</v>
      </c>
      <c r="AA184" s="167">
        <v>598.35465356943553</v>
      </c>
      <c r="AB184" s="167">
        <v>670.60753600082967</v>
      </c>
    </row>
    <row r="185" spans="1:28" x14ac:dyDescent="0.2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V185" s="165"/>
      <c r="W185" s="166">
        <f>W184+0.5%</f>
        <v>3.0000000000000002E-2</v>
      </c>
      <c r="X185" s="167">
        <v>498.11822902110521</v>
      </c>
      <c r="Y185" s="167">
        <v>537.64095296945038</v>
      </c>
      <c r="Z185" s="167">
        <v>589.29563581890375</v>
      </c>
      <c r="AA185" s="167">
        <v>660.1736718414262</v>
      </c>
      <c r="AB185" s="167">
        <v>764.27859702361332</v>
      </c>
    </row>
    <row r="186" spans="1:28" ht="15" customHeight="1" x14ac:dyDescent="0.2">
      <c r="A186" s="93"/>
      <c r="B186" s="186" t="s">
        <v>278</v>
      </c>
      <c r="C186" s="93"/>
      <c r="D186" s="93"/>
      <c r="E186" s="93"/>
      <c r="F186" s="93"/>
      <c r="G186" s="93"/>
      <c r="H186" s="93"/>
      <c r="I186" s="93"/>
    </row>
    <row r="187" spans="1:28" x14ac:dyDescent="0.2">
      <c r="A187" s="93"/>
      <c r="B187" s="93" t="s">
        <v>279</v>
      </c>
      <c r="C187" s="93"/>
      <c r="D187" s="93"/>
      <c r="E187" s="93"/>
      <c r="F187" s="93"/>
      <c r="G187" s="93"/>
      <c r="H187" s="185">
        <f>T159/T180</f>
        <v>0.4440873908878743</v>
      </c>
      <c r="I187" s="93"/>
      <c r="J187" s="93" t="s">
        <v>275</v>
      </c>
      <c r="K187" s="93"/>
      <c r="L187" s="93"/>
      <c r="M187" s="93"/>
      <c r="N187" s="180">
        <f ca="1">N182/N184</f>
        <v>0.80221193713160466</v>
      </c>
      <c r="O187" s="93"/>
      <c r="P187" s="93" t="s">
        <v>275</v>
      </c>
      <c r="Q187" s="93"/>
      <c r="R187" s="93"/>
      <c r="S187" s="93"/>
      <c r="T187" s="180">
        <f ca="1">T183/T184</f>
        <v>0.86127813845315371</v>
      </c>
    </row>
    <row r="188" spans="1:28" x14ac:dyDescent="0.2">
      <c r="A188" s="93"/>
      <c r="B188" s="187" t="s">
        <v>280</v>
      </c>
      <c r="C188" s="187"/>
      <c r="D188" s="187"/>
      <c r="E188" s="187"/>
      <c r="F188" s="187"/>
      <c r="G188" s="187"/>
      <c r="H188" s="188" t="str">
        <f>IF(H187&gt;60%,"FLAG: FCF Conversion High","Within Range")</f>
        <v>Within Range</v>
      </c>
      <c r="I188" s="93"/>
      <c r="J188" s="93" t="s">
        <v>276</v>
      </c>
      <c r="K188" s="93"/>
      <c r="L188" s="93"/>
      <c r="M188" s="93"/>
      <c r="N188" s="183">
        <f ca="1">N184/T180</f>
        <v>10.458155062022914</v>
      </c>
      <c r="O188" s="93"/>
      <c r="P188" s="93" t="s">
        <v>277</v>
      </c>
      <c r="Q188" s="93"/>
      <c r="R188" s="93"/>
      <c r="S188" s="93"/>
      <c r="T188" s="185">
        <f>(WACC-(T159/T182))/(1+(T159/T182))</f>
        <v>3.3691558147453664E-2</v>
      </c>
    </row>
    <row r="189" spans="1:28" x14ac:dyDescent="0.2">
      <c r="A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</row>
    <row r="190" spans="1:28" x14ac:dyDescent="0.2">
      <c r="A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</row>
    <row r="191" spans="1:28" x14ac:dyDescent="0.2">
      <c r="A191" s="93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</row>
    <row r="192" spans="1:28" x14ac:dyDescent="0.2">
      <c r="A192" s="187"/>
    </row>
  </sheetData>
  <mergeCells count="2">
    <mergeCell ref="O30:T30"/>
    <mergeCell ref="E30:N30"/>
  </mergeCells>
  <dataValidations count="1">
    <dataValidation type="list" allowBlank="1" showInputMessage="1" showErrorMessage="1" sqref="E13:E15 E18:E19" xr:uid="{DB92F52E-5A75-CB40-8226-57F4320423D6}">
      <formula1>"1,2,3"</formula1>
    </dataValidation>
  </dataValidations>
  <pageMargins left="0.7" right="0.7" top="0.75" bottom="0.75" header="0.3" footer="0.3"/>
  <pageSetup paperSize="9" scale="26" orientation="portrait" horizontalDpi="0" verticalDpi="0"/>
  <rowBreaks count="1" manualBreakCount="1">
    <brk id="76" max="28" man="1"/>
  </rowBreaks>
  <colBreaks count="1" manualBreakCount="1">
    <brk id="29" max="135" man="1"/>
  </col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F9E1-5EF1-D646-9CD2-480B2150F9D4}">
  <dimension ref="A2:Q65"/>
  <sheetViews>
    <sheetView showGridLines="0" topLeftCell="A7" zoomScaleNormal="100" workbookViewId="0">
      <selection activeCell="I55" sqref="I55"/>
    </sheetView>
  </sheetViews>
  <sheetFormatPr baseColWidth="10" defaultRowHeight="14" x14ac:dyDescent="0.2"/>
  <cols>
    <col min="1" max="1" width="2" style="93" customWidth="1"/>
    <col min="2" max="2" width="18.5" style="93" customWidth="1"/>
    <col min="3" max="3" width="14.5" style="93" customWidth="1"/>
    <col min="4" max="5" width="10.83203125" style="93"/>
    <col min="6" max="9" width="13.83203125" style="93" customWidth="1"/>
    <col min="10" max="16384" width="10.83203125" style="93"/>
  </cols>
  <sheetData>
    <row r="2" spans="1:11" ht="21" x14ac:dyDescent="0.2">
      <c r="B2" s="94" t="s">
        <v>161</v>
      </c>
      <c r="C2" s="94"/>
      <c r="D2" s="94"/>
      <c r="E2" s="95"/>
      <c r="F2" s="95"/>
      <c r="G2" s="95"/>
      <c r="H2" s="95"/>
      <c r="I2" s="95"/>
    </row>
    <row r="4" spans="1:11" s="98" customFormat="1" x14ac:dyDescent="0.2">
      <c r="A4" s="93" t="s">
        <v>126</v>
      </c>
      <c r="B4" s="96" t="s">
        <v>224</v>
      </c>
      <c r="C4" s="118" t="s">
        <v>225</v>
      </c>
      <c r="D4" s="96" t="s">
        <v>209</v>
      </c>
      <c r="E4" s="96"/>
      <c r="F4" s="97" t="s">
        <v>160</v>
      </c>
      <c r="G4" s="97" t="s">
        <v>213</v>
      </c>
      <c r="H4" s="97" t="s">
        <v>214</v>
      </c>
      <c r="I4" s="97" t="s">
        <v>215</v>
      </c>
    </row>
    <row r="5" spans="1:11" ht="5" customHeight="1" x14ac:dyDescent="0.2"/>
    <row r="6" spans="1:11" x14ac:dyDescent="0.2">
      <c r="B6" s="98" t="s">
        <v>226</v>
      </c>
      <c r="C6" s="119">
        <v>0.45</v>
      </c>
      <c r="D6" s="93" t="s">
        <v>229</v>
      </c>
      <c r="F6" s="99">
        <v>0.21</v>
      </c>
      <c r="G6" s="124">
        <v>0.26190000000000002</v>
      </c>
      <c r="H6" s="101">
        <v>0.42</v>
      </c>
      <c r="I6" s="102">
        <f>H6/(1+(1-F6)*G6)</f>
        <v>0.34799871737615595</v>
      </c>
    </row>
    <row r="7" spans="1:11" x14ac:dyDescent="0.2">
      <c r="D7" s="93" t="s">
        <v>230</v>
      </c>
      <c r="F7" s="99">
        <v>0.21</v>
      </c>
      <c r="G7" s="124">
        <v>0.2883</v>
      </c>
      <c r="H7" s="101">
        <v>0.5</v>
      </c>
      <c r="I7" s="102">
        <f>H7/(1+(1-F7)*G7)</f>
        <v>0.40724671087193964</v>
      </c>
    </row>
    <row r="8" spans="1:11" x14ac:dyDescent="0.2">
      <c r="D8" s="93" t="s">
        <v>231</v>
      </c>
      <c r="F8" s="99">
        <v>0.21</v>
      </c>
      <c r="G8" s="124">
        <v>0.26550000000000001</v>
      </c>
      <c r="H8" s="101">
        <v>0.47</v>
      </c>
      <c r="I8" s="102">
        <f>H8/(1+(1-F8)*G8)</f>
        <v>0.38851162848368864</v>
      </c>
    </row>
    <row r="9" spans="1:11" x14ac:dyDescent="0.2">
      <c r="D9" s="93" t="s">
        <v>232</v>
      </c>
      <c r="F9" s="99">
        <v>0.21</v>
      </c>
      <c r="G9" s="124">
        <v>0.26939999999999997</v>
      </c>
      <c r="H9" s="101">
        <v>0.27</v>
      </c>
      <c r="I9" s="102">
        <f>H9/(1+(1-F9)*G9)</f>
        <v>0.22262055727697133</v>
      </c>
      <c r="K9" s="103"/>
    </row>
    <row r="10" spans="1:11" s="98" customFormat="1" x14ac:dyDescent="0.2">
      <c r="B10" s="120" t="s">
        <v>216</v>
      </c>
      <c r="C10" s="120"/>
      <c r="D10" s="120"/>
      <c r="E10" s="120"/>
      <c r="F10" s="120"/>
      <c r="G10" s="122">
        <f>MEDIAN(G6:G9)</f>
        <v>0.26744999999999997</v>
      </c>
      <c r="H10" s="127">
        <f>MEDIAN(H6:H9)</f>
        <v>0.44499999999999995</v>
      </c>
      <c r="I10" s="127">
        <f>MEDIAN(I6:I9)</f>
        <v>0.36825517292992227</v>
      </c>
    </row>
    <row r="11" spans="1:11" s="98" customFormat="1" ht="5" customHeight="1" x14ac:dyDescent="0.2">
      <c r="G11" s="123"/>
      <c r="H11" s="117"/>
      <c r="I11" s="117"/>
    </row>
    <row r="12" spans="1:11" x14ac:dyDescent="0.2">
      <c r="B12" s="98" t="s">
        <v>233</v>
      </c>
      <c r="C12" s="119">
        <v>0.2</v>
      </c>
      <c r="D12" s="93" t="s">
        <v>234</v>
      </c>
      <c r="F12" s="99">
        <v>0.21</v>
      </c>
      <c r="G12" s="125">
        <v>1.7226999999999999</v>
      </c>
      <c r="H12" s="101">
        <v>0.97</v>
      </c>
      <c r="I12" s="102">
        <f>H12/(1+(1-F12)*G12)</f>
        <v>0.41085452234349723</v>
      </c>
    </row>
    <row r="13" spans="1:11" s="98" customFormat="1" x14ac:dyDescent="0.2">
      <c r="D13" s="93" t="s">
        <v>235</v>
      </c>
      <c r="F13" s="99">
        <v>0.21</v>
      </c>
      <c r="G13" s="125">
        <v>1.2027000000000001</v>
      </c>
      <c r="H13" s="101">
        <v>1.27</v>
      </c>
      <c r="I13" s="102">
        <f t="shared" ref="I13:I14" si="0">H13/(1+(1-F13)*G13)</f>
        <v>0.65123763353576392</v>
      </c>
    </row>
    <row r="14" spans="1:11" s="98" customFormat="1" x14ac:dyDescent="0.2">
      <c r="D14" s="93" t="s">
        <v>283</v>
      </c>
      <c r="F14" s="99">
        <v>0.21</v>
      </c>
      <c r="G14" s="125">
        <v>1.4794</v>
      </c>
      <c r="H14" s="101">
        <v>1.22</v>
      </c>
      <c r="I14" s="102">
        <f t="shared" si="0"/>
        <v>0.5625422483061483</v>
      </c>
    </row>
    <row r="15" spans="1:11" s="98" customFormat="1" x14ac:dyDescent="0.2">
      <c r="B15" s="120" t="s">
        <v>216</v>
      </c>
      <c r="C15" s="120"/>
      <c r="D15" s="120"/>
      <c r="E15" s="120"/>
      <c r="F15" s="120"/>
      <c r="G15" s="122">
        <f>MEDIAN(G12:G14)</f>
        <v>1.4794</v>
      </c>
      <c r="H15" s="121">
        <f>MEDIAN(H12:H14)</f>
        <v>1.22</v>
      </c>
      <c r="I15" s="121">
        <f>MEDIAN(I12:I14)</f>
        <v>0.5625422483061483</v>
      </c>
    </row>
    <row r="16" spans="1:11" s="98" customFormat="1" ht="5" customHeight="1" x14ac:dyDescent="0.2">
      <c r="G16" s="123"/>
      <c r="H16" s="117"/>
      <c r="I16" s="117"/>
    </row>
    <row r="17" spans="1:9" s="98" customFormat="1" x14ac:dyDescent="0.2">
      <c r="B17" s="98" t="s">
        <v>236</v>
      </c>
      <c r="C17" s="119">
        <v>0.12</v>
      </c>
      <c r="D17" s="93" t="s">
        <v>237</v>
      </c>
      <c r="F17" s="99">
        <v>0.21</v>
      </c>
      <c r="G17" s="125">
        <v>1.3617999999999999</v>
      </c>
      <c r="H17" s="101">
        <v>0.67</v>
      </c>
      <c r="I17" s="102">
        <f t="shared" ref="I17:I19" si="1">H17/(1+(1-F17)*G17)</f>
        <v>0.32276370517317959</v>
      </c>
    </row>
    <row r="18" spans="1:9" s="98" customFormat="1" x14ac:dyDescent="0.2">
      <c r="D18" s="93" t="s">
        <v>238</v>
      </c>
      <c r="F18" s="99">
        <v>0.21</v>
      </c>
      <c r="G18" s="125">
        <v>1.6442000000000001</v>
      </c>
      <c r="H18" s="101">
        <v>0.38</v>
      </c>
      <c r="I18" s="102">
        <f t="shared" si="1"/>
        <v>0.16529515189319494</v>
      </c>
    </row>
    <row r="19" spans="1:9" s="98" customFormat="1" x14ac:dyDescent="0.2">
      <c r="D19" s="93" t="s">
        <v>239</v>
      </c>
      <c r="F19" s="99">
        <v>0.21</v>
      </c>
      <c r="G19" s="125">
        <v>1.7676000000000001</v>
      </c>
      <c r="H19" s="101">
        <v>0.34</v>
      </c>
      <c r="I19" s="102">
        <f t="shared" si="1"/>
        <v>0.14187924907486382</v>
      </c>
    </row>
    <row r="20" spans="1:9" s="98" customFormat="1" x14ac:dyDescent="0.2">
      <c r="B20" s="120" t="s">
        <v>216</v>
      </c>
      <c r="C20" s="120"/>
      <c r="D20" s="120"/>
      <c r="E20" s="120"/>
      <c r="F20" s="120"/>
      <c r="G20" s="122">
        <f>MEDIAN(G17:G19)</f>
        <v>1.6442000000000001</v>
      </c>
      <c r="H20" s="127">
        <f>MEDIAN(H17:H19)</f>
        <v>0.38</v>
      </c>
      <c r="I20" s="127">
        <f>MEDIAN(I17:I19)</f>
        <v>0.16529515189319494</v>
      </c>
    </row>
    <row r="21" spans="1:9" s="98" customFormat="1" ht="5" customHeight="1" x14ac:dyDescent="0.2">
      <c r="G21" s="123"/>
      <c r="H21" s="117"/>
      <c r="I21" s="126"/>
    </row>
    <row r="22" spans="1:9" s="98" customFormat="1" x14ac:dyDescent="0.2">
      <c r="B22" s="98" t="s">
        <v>240</v>
      </c>
      <c r="C22" s="119">
        <v>0.23</v>
      </c>
      <c r="D22" s="93" t="s">
        <v>241</v>
      </c>
      <c r="F22" s="99">
        <v>0.21</v>
      </c>
      <c r="G22" s="125">
        <v>1.6235999999999999</v>
      </c>
      <c r="H22" s="101">
        <v>0.84</v>
      </c>
      <c r="I22" s="102">
        <f t="shared" ref="I22:I24" si="2">H22/(1+(1-F22)*G22)</f>
        <v>0.36799430835469743</v>
      </c>
    </row>
    <row r="23" spans="1:9" s="98" customFormat="1" x14ac:dyDescent="0.2">
      <c r="D23" s="93" t="s">
        <v>242</v>
      </c>
      <c r="F23" s="99">
        <v>0.21</v>
      </c>
      <c r="G23" s="125">
        <v>0.67820000000000003</v>
      </c>
      <c r="H23" s="101">
        <v>1.1399999999999999</v>
      </c>
      <c r="I23" s="102">
        <f t="shared" si="2"/>
        <v>0.7422947847931145</v>
      </c>
    </row>
    <row r="24" spans="1:9" s="98" customFormat="1" x14ac:dyDescent="0.2">
      <c r="D24" s="93" t="s">
        <v>284</v>
      </c>
      <c r="F24" s="99">
        <v>0.21</v>
      </c>
      <c r="G24" s="125">
        <v>2.3704999999999998</v>
      </c>
      <c r="H24" s="101">
        <v>1.03</v>
      </c>
      <c r="I24" s="102">
        <f t="shared" si="2"/>
        <v>0.35854833179296791</v>
      </c>
    </row>
    <row r="25" spans="1:9" s="98" customFormat="1" x14ac:dyDescent="0.2">
      <c r="B25" s="120" t="s">
        <v>216</v>
      </c>
      <c r="C25" s="120"/>
      <c r="D25" s="120"/>
      <c r="E25" s="120"/>
      <c r="F25" s="120"/>
      <c r="G25" s="122">
        <f>MEDIAN(G22:G24)</f>
        <v>1.6235999999999999</v>
      </c>
      <c r="H25" s="127">
        <f>MEDIAN(H22:H24)</f>
        <v>1.03</v>
      </c>
      <c r="I25" s="127">
        <f>MEDIAN(I22:I24)</f>
        <v>0.36799430835469743</v>
      </c>
    </row>
    <row r="26" spans="1:9" s="98" customFormat="1" x14ac:dyDescent="0.2">
      <c r="D26" s="93"/>
      <c r="G26" s="116"/>
      <c r="H26" s="117"/>
      <c r="I26" s="117"/>
    </row>
    <row r="27" spans="1:9" s="98" customFormat="1" x14ac:dyDescent="0.2">
      <c r="B27" s="98" t="s">
        <v>244</v>
      </c>
      <c r="D27" s="93"/>
      <c r="G27" s="116"/>
      <c r="H27" s="117"/>
      <c r="I27" s="117">
        <f>(I10*C6)+(I15*C12)+(I20*C17)+(I25*C22)</f>
        <v>0.38269738662845842</v>
      </c>
    </row>
    <row r="29" spans="1:9" s="98" customFormat="1" x14ac:dyDescent="0.2">
      <c r="A29" s="93" t="s">
        <v>126</v>
      </c>
      <c r="B29" s="96" t="s">
        <v>245</v>
      </c>
      <c r="C29" s="96"/>
      <c r="D29" s="96"/>
      <c r="E29" s="96"/>
      <c r="F29" s="97"/>
      <c r="G29" s="97"/>
      <c r="H29" s="97"/>
      <c r="I29" s="97"/>
    </row>
    <row r="30" spans="1:9" ht="5" customHeight="1" x14ac:dyDescent="0.2"/>
    <row r="31" spans="1:9" x14ac:dyDescent="0.2">
      <c r="B31" s="93" t="s">
        <v>210</v>
      </c>
      <c r="I31" s="134">
        <f>45763+83318</f>
        <v>129081</v>
      </c>
    </row>
    <row r="32" spans="1:9" x14ac:dyDescent="0.2">
      <c r="B32" s="128" t="s">
        <v>246</v>
      </c>
      <c r="I32" s="133">
        <f>I31/$I$37</f>
        <v>0.10892819981238619</v>
      </c>
    </row>
    <row r="34" spans="1:9" x14ac:dyDescent="0.2">
      <c r="B34" s="93" t="s">
        <v>211</v>
      </c>
      <c r="I34" s="132">
        <f>('IS - Annual'!L73*1500)*DCF!I5</f>
        <v>1055928.9443699999</v>
      </c>
    </row>
    <row r="35" spans="1:9" x14ac:dyDescent="0.2">
      <c r="B35" s="128" t="s">
        <v>247</v>
      </c>
      <c r="I35" s="133">
        <f>I34/$I$37</f>
        <v>0.89107180018761378</v>
      </c>
    </row>
    <row r="37" spans="1:9" x14ac:dyDescent="0.2">
      <c r="B37" s="98" t="s">
        <v>212</v>
      </c>
      <c r="C37" s="98"/>
      <c r="D37" s="98"/>
      <c r="E37" s="98"/>
      <c r="F37" s="98"/>
      <c r="G37" s="98"/>
      <c r="H37" s="98"/>
      <c r="I37" s="131">
        <f>I34+I31</f>
        <v>1185009.9443699999</v>
      </c>
    </row>
    <row r="39" spans="1:9" x14ac:dyDescent="0.2">
      <c r="B39" s="93" t="s">
        <v>249</v>
      </c>
      <c r="I39" s="135">
        <f>I31/I34</f>
        <v>0.12224402095257815</v>
      </c>
    </row>
    <row r="41" spans="1:9" s="98" customFormat="1" x14ac:dyDescent="0.2">
      <c r="A41" s="93" t="s">
        <v>126</v>
      </c>
      <c r="B41" s="96" t="s">
        <v>217</v>
      </c>
      <c r="C41" s="96"/>
      <c r="D41" s="96"/>
      <c r="E41" s="96"/>
      <c r="F41" s="97"/>
      <c r="G41" s="97"/>
      <c r="H41" s="97"/>
      <c r="I41" s="97"/>
    </row>
    <row r="42" spans="1:9" ht="5" customHeight="1" x14ac:dyDescent="0.2"/>
    <row r="43" spans="1:9" x14ac:dyDescent="0.2">
      <c r="B43" s="98" t="s">
        <v>218</v>
      </c>
      <c r="C43" s="98"/>
      <c r="D43" s="98"/>
      <c r="I43" s="105">
        <f>I46+(I45*I44)</f>
        <v>6.4116636898221752E-2</v>
      </c>
    </row>
    <row r="44" spans="1:9" x14ac:dyDescent="0.2">
      <c r="B44" s="106" t="s">
        <v>219</v>
      </c>
      <c r="C44" s="106"/>
      <c r="D44" s="106"/>
      <c r="I44" s="107">
        <v>4.4600000000000001E-2</v>
      </c>
    </row>
    <row r="45" spans="1:9" x14ac:dyDescent="0.2">
      <c r="B45" s="106" t="s">
        <v>214</v>
      </c>
      <c r="C45" s="106"/>
      <c r="D45" s="106"/>
      <c r="I45" s="108">
        <f>I27*(1+(1-F22)*I39)</f>
        <v>0.41965553583456833</v>
      </c>
    </row>
    <row r="46" spans="1:9" x14ac:dyDescent="0.2">
      <c r="B46" s="106" t="s">
        <v>220</v>
      </c>
      <c r="C46" s="106"/>
      <c r="D46" s="106"/>
      <c r="I46" s="107">
        <v>4.5400000000000003E-2</v>
      </c>
    </row>
    <row r="48" spans="1:9" x14ac:dyDescent="0.2">
      <c r="B48" s="98" t="s">
        <v>221</v>
      </c>
      <c r="C48" s="98"/>
      <c r="D48" s="98"/>
      <c r="I48" s="105">
        <f>I49*(1-I50)</f>
        <v>3.1023233473555362E-2</v>
      </c>
    </row>
    <row r="49" spans="1:17" x14ac:dyDescent="0.2">
      <c r="B49" s="93" t="s">
        <v>222</v>
      </c>
      <c r="I49" s="109">
        <f>-('IS - Annual'!L51+'IS - Annual'!L45)/WACC!I31</f>
        <v>3.9269915789310585E-2</v>
      </c>
    </row>
    <row r="50" spans="1:17" x14ac:dyDescent="0.2">
      <c r="B50" s="93" t="s">
        <v>160</v>
      </c>
      <c r="I50" s="110">
        <f>DCF!E26</f>
        <v>0.21</v>
      </c>
    </row>
    <row r="52" spans="1:17" x14ac:dyDescent="0.2">
      <c r="B52" s="93" t="s">
        <v>246</v>
      </c>
      <c r="I52" s="111">
        <f>I32</f>
        <v>0.10892819981238619</v>
      </c>
    </row>
    <row r="53" spans="1:17" x14ac:dyDescent="0.2">
      <c r="B53" s="93" t="s">
        <v>223</v>
      </c>
      <c r="I53" s="111">
        <f>I48</f>
        <v>3.1023233473555362E-2</v>
      </c>
    </row>
    <row r="55" spans="1:17" x14ac:dyDescent="0.2">
      <c r="B55" s="93" t="s">
        <v>247</v>
      </c>
      <c r="I55" s="111">
        <f>I35</f>
        <v>0.89107180018761378</v>
      </c>
    </row>
    <row r="56" spans="1:17" x14ac:dyDescent="0.2">
      <c r="B56" s="93" t="s">
        <v>218</v>
      </c>
      <c r="I56" s="111">
        <f>I43</f>
        <v>6.4116636898221752E-2</v>
      </c>
    </row>
    <row r="58" spans="1:17" ht="15" x14ac:dyDescent="0.2">
      <c r="A58" s="93" t="s">
        <v>126</v>
      </c>
      <c r="B58" s="112" t="s">
        <v>161</v>
      </c>
      <c r="C58" s="115"/>
      <c r="D58" s="115"/>
      <c r="E58" s="113"/>
      <c r="F58" s="113"/>
      <c r="G58" s="113"/>
      <c r="H58" s="113"/>
      <c r="I58" s="114">
        <f>(I55*I56)+(I52*I53)</f>
        <v>6.0511832037507783E-2</v>
      </c>
      <c r="K58" s="34" t="s">
        <v>261</v>
      </c>
      <c r="L58" s="34"/>
      <c r="M58" s="34"/>
      <c r="N58" s="34"/>
      <c r="O58" s="34"/>
      <c r="P58" s="34"/>
      <c r="Q58" s="34"/>
    </row>
    <row r="59" spans="1:17" ht="15" x14ac:dyDescent="0.2">
      <c r="K59" s="160"/>
      <c r="L59" s="171" t="s">
        <v>220</v>
      </c>
      <c r="M59" s="157"/>
      <c r="N59" s="157"/>
      <c r="O59" s="157"/>
      <c r="P59" s="157"/>
      <c r="Q59" s="163"/>
    </row>
    <row r="60" spans="1:17" ht="15" x14ac:dyDescent="0.2">
      <c r="K60" s="161"/>
      <c r="L60" s="159">
        <f>I58</f>
        <v>6.0511832037507783E-2</v>
      </c>
      <c r="M60" s="156">
        <f>N60+0.5%</f>
        <v>5.5399999999999998E-2</v>
      </c>
      <c r="N60" s="156">
        <f>O60+0.5%</f>
        <v>5.04E-2</v>
      </c>
      <c r="O60" s="156">
        <v>4.5400000000000003E-2</v>
      </c>
      <c r="P60" s="156">
        <f>O60-0.5%</f>
        <v>4.0400000000000005E-2</v>
      </c>
      <c r="Q60" s="175">
        <f>P60-0.5%</f>
        <v>3.5400000000000008E-2</v>
      </c>
    </row>
    <row r="61" spans="1:17" ht="15" x14ac:dyDescent="0.2">
      <c r="K61" s="161"/>
      <c r="L61" s="172">
        <f>L62+0.1</f>
        <v>0.61965553583456834</v>
      </c>
      <c r="M61" s="174">
        <f t="dataTable" ref="M61:Q65" dt2D="1" dtr="1" r1="I46" r2="I45"/>
        <v>7.7370910497057438E-2</v>
      </c>
      <c r="N61" s="174">
        <v>7.2915551496119377E-2</v>
      </c>
      <c r="O61" s="174">
        <v>6.8460192495181302E-2</v>
      </c>
      <c r="P61" s="174">
        <v>6.4004833494243241E-2</v>
      </c>
      <c r="Q61" s="174">
        <v>5.9549474493305166E-2</v>
      </c>
    </row>
    <row r="62" spans="1:17" ht="15" x14ac:dyDescent="0.2">
      <c r="K62" s="170"/>
      <c r="L62" s="172">
        <f>L63+0.1</f>
        <v>0.51965553583456836</v>
      </c>
      <c r="M62" s="174">
        <v>7.3396730268220675E-2</v>
      </c>
      <c r="N62" s="174">
        <v>6.8941371267282614E-2</v>
      </c>
      <c r="O62" s="174">
        <v>6.4486012266344539E-2</v>
      </c>
      <c r="P62" s="174">
        <v>6.0030653265406478E-2</v>
      </c>
      <c r="Q62" s="174">
        <v>5.5575294264468417E-2</v>
      </c>
    </row>
    <row r="63" spans="1:17" ht="15" x14ac:dyDescent="0.2">
      <c r="K63" s="162" t="s">
        <v>264</v>
      </c>
      <c r="L63" s="172">
        <v>0.41965553583456833</v>
      </c>
      <c r="M63" s="174">
        <v>6.9422550039383926E-2</v>
      </c>
      <c r="N63" s="174">
        <v>6.4967191038445851E-2</v>
      </c>
      <c r="O63" s="174">
        <v>6.0511832037507783E-2</v>
      </c>
      <c r="P63" s="174">
        <v>5.6056473036569722E-2</v>
      </c>
      <c r="Q63" s="174">
        <v>5.1601114035631654E-2</v>
      </c>
    </row>
    <row r="64" spans="1:17" ht="15" x14ac:dyDescent="0.2">
      <c r="K64" s="161"/>
      <c r="L64" s="172">
        <f>L63-0.1</f>
        <v>0.31965553583456829</v>
      </c>
      <c r="M64" s="174">
        <v>6.544836981054715E-2</v>
      </c>
      <c r="N64" s="174">
        <v>6.0993010809609095E-2</v>
      </c>
      <c r="O64" s="174">
        <v>5.653765180867102E-2</v>
      </c>
      <c r="P64" s="174">
        <v>5.2082292807732966E-2</v>
      </c>
      <c r="Q64" s="174">
        <v>4.7626933806794891E-2</v>
      </c>
    </row>
    <row r="65" spans="11:17" ht="15" x14ac:dyDescent="0.2">
      <c r="K65" s="165"/>
      <c r="L65" s="173">
        <f>L64-0.1</f>
        <v>0.21965553583456829</v>
      </c>
      <c r="M65" s="174">
        <v>6.1474189581710408E-2</v>
      </c>
      <c r="N65" s="174">
        <v>5.7018830580772333E-2</v>
      </c>
      <c r="O65" s="174">
        <v>5.2563471579834264E-2</v>
      </c>
      <c r="P65" s="174">
        <v>4.8108112578896203E-2</v>
      </c>
      <c r="Q65" s="174">
        <v>4.3652753577958135E-2</v>
      </c>
    </row>
  </sheetData>
  <pageMargins left="0.7" right="0.7" top="0.75" bottom="0.75" header="0.3" footer="0.3"/>
  <pageSetup paperSize="9" scale="41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6E69-B400-F145-B6B4-315B15DB3662}">
  <dimension ref="A2:U64"/>
  <sheetViews>
    <sheetView showGridLines="0" zoomScaleNormal="100" workbookViewId="0"/>
  </sheetViews>
  <sheetFormatPr baseColWidth="10" defaultRowHeight="15" x14ac:dyDescent="0.2"/>
  <cols>
    <col min="1" max="1" width="2" customWidth="1"/>
    <col min="4" max="4" width="15.1640625" customWidth="1"/>
    <col min="5" max="9" width="10.83203125" customWidth="1"/>
  </cols>
  <sheetData>
    <row r="2" spans="1:21" x14ac:dyDescent="0.2">
      <c r="A2" t="s">
        <v>126</v>
      </c>
      <c r="B2" s="34" t="s">
        <v>166</v>
      </c>
      <c r="C2" s="67"/>
      <c r="D2" s="67"/>
      <c r="E2" s="36">
        <f t="shared" ref="E2:G2" si="0">F2-365</f>
        <v>42735</v>
      </c>
      <c r="F2" s="36">
        <f t="shared" si="0"/>
        <v>43100</v>
      </c>
      <c r="G2" s="36">
        <f t="shared" si="0"/>
        <v>43465</v>
      </c>
      <c r="H2" s="36">
        <f>I2-366</f>
        <v>43830</v>
      </c>
      <c r="I2" s="36">
        <f>J2-365</f>
        <v>44196</v>
      </c>
      <c r="J2" s="36">
        <v>44561</v>
      </c>
      <c r="K2" s="36">
        <f>J2+365</f>
        <v>44926</v>
      </c>
      <c r="L2" s="36">
        <f t="shared" ref="L2:T2" si="1">K2+365</f>
        <v>45291</v>
      </c>
      <c r="M2" s="36">
        <f t="shared" si="1"/>
        <v>45656</v>
      </c>
      <c r="N2" s="36">
        <f t="shared" si="1"/>
        <v>46021</v>
      </c>
      <c r="O2" s="38">
        <f t="shared" si="1"/>
        <v>46386</v>
      </c>
      <c r="P2" s="38">
        <f t="shared" si="1"/>
        <v>46751</v>
      </c>
      <c r="Q2" s="38">
        <f t="shared" si="1"/>
        <v>47116</v>
      </c>
      <c r="R2" s="38">
        <f t="shared" si="1"/>
        <v>47481</v>
      </c>
      <c r="S2" s="38">
        <f t="shared" si="1"/>
        <v>47846</v>
      </c>
      <c r="T2" s="38">
        <f t="shared" si="1"/>
        <v>48211</v>
      </c>
      <c r="U2" s="71"/>
    </row>
    <row r="3" spans="1:21" ht="5" customHeight="1" x14ac:dyDescent="0.2"/>
    <row r="4" spans="1:21" x14ac:dyDescent="0.2">
      <c r="B4" s="49" t="s">
        <v>167</v>
      </c>
    </row>
    <row r="5" spans="1:21" x14ac:dyDescent="0.2">
      <c r="B5" t="s">
        <v>134</v>
      </c>
      <c r="E5" s="68">
        <v>2460</v>
      </c>
      <c r="F5" s="68">
        <v>2116</v>
      </c>
      <c r="G5" s="68">
        <v>2186</v>
      </c>
      <c r="H5" s="68">
        <v>2269</v>
      </c>
      <c r="I5" s="68">
        <v>2320</v>
      </c>
      <c r="J5" s="68">
        <v>2318</v>
      </c>
      <c r="K5" s="68">
        <v>2276</v>
      </c>
      <c r="L5" s="68">
        <v>2898</v>
      </c>
      <c r="M5" s="68">
        <v>3117</v>
      </c>
      <c r="N5" s="68">
        <v>3245</v>
      </c>
      <c r="O5" s="22">
        <f>O6*O$11</f>
        <v>3200.6342230406708</v>
      </c>
      <c r="P5" s="22">
        <f t="shared" ref="P5:S5" si="2">P6*P$11</f>
        <v>3350.7187141068162</v>
      </c>
      <c r="Q5" s="22">
        <f t="shared" si="2"/>
        <v>3477.0398945111001</v>
      </c>
      <c r="R5" s="22">
        <f t="shared" si="2"/>
        <v>3543.6808250657223</v>
      </c>
      <c r="S5" s="22">
        <f t="shared" si="2"/>
        <v>3639.6756117636055</v>
      </c>
      <c r="T5" s="22">
        <f t="shared" ref="T5" si="3">T6*T$11</f>
        <v>3714.3620379072572</v>
      </c>
    </row>
    <row r="6" spans="1:21" x14ac:dyDescent="0.2">
      <c r="B6" s="40" t="s">
        <v>169</v>
      </c>
      <c r="E6" s="41">
        <f t="shared" ref="E6:H6" si="4">E5/E$11</f>
        <v>0.33193900958035355</v>
      </c>
      <c r="F6" s="41">
        <f t="shared" si="4"/>
        <v>0.3036739380022962</v>
      </c>
      <c r="G6" s="41">
        <f t="shared" si="4"/>
        <v>0.30010982976386602</v>
      </c>
      <c r="H6" s="41">
        <f t="shared" si="4"/>
        <v>0.29989426381178957</v>
      </c>
      <c r="I6" s="41">
        <f t="shared" ref="I6:N6" si="5">I5/I$11</f>
        <v>0.28574947653651928</v>
      </c>
      <c r="J6" s="41">
        <f t="shared" si="5"/>
        <v>0.27900818488204143</v>
      </c>
      <c r="K6" s="41">
        <f t="shared" si="5"/>
        <v>0.26912616767175124</v>
      </c>
      <c r="L6" s="41">
        <f t="shared" si="5"/>
        <v>0.30856047700170358</v>
      </c>
      <c r="M6" s="41">
        <f t="shared" si="5"/>
        <v>0.32364240473471084</v>
      </c>
      <c r="N6" s="41">
        <f t="shared" si="5"/>
        <v>0.31983047506406465</v>
      </c>
      <c r="O6" s="42">
        <f>AVERAGE(L6:N6)</f>
        <v>0.31734445226682634</v>
      </c>
      <c r="P6" s="42">
        <f>O6</f>
        <v>0.31734445226682634</v>
      </c>
      <c r="Q6" s="42">
        <f>P6</f>
        <v>0.31734445226682634</v>
      </c>
      <c r="R6" s="42">
        <f>Q6</f>
        <v>0.31734445226682634</v>
      </c>
      <c r="S6" s="42">
        <f>R6</f>
        <v>0.31734445226682634</v>
      </c>
      <c r="T6" s="42">
        <f t="shared" ref="T6" si="6">S6</f>
        <v>0.31734445226682634</v>
      </c>
    </row>
    <row r="8" spans="1:21" x14ac:dyDescent="0.2">
      <c r="B8" t="s">
        <v>168</v>
      </c>
      <c r="E8" s="68">
        <v>4951</v>
      </c>
      <c r="F8" s="68">
        <v>4852</v>
      </c>
      <c r="G8" s="68">
        <v>5098</v>
      </c>
      <c r="H8" s="68">
        <v>5297</v>
      </c>
      <c r="I8" s="68">
        <v>5799</v>
      </c>
      <c r="J8" s="68">
        <v>5990</v>
      </c>
      <c r="K8" s="68">
        <v>6181</v>
      </c>
      <c r="L8" s="68">
        <v>6494</v>
      </c>
      <c r="M8" s="68">
        <v>6514</v>
      </c>
      <c r="N8" s="68">
        <v>6901</v>
      </c>
      <c r="O8" s="22">
        <f>O9*O$11</f>
        <v>6885.0446037930369</v>
      </c>
      <c r="P8" s="22">
        <f>P9*P$11</f>
        <v>7176.9833253458273</v>
      </c>
      <c r="Q8" s="22">
        <f t="shared" ref="Q8:S8" si="7">Q9*Q$11</f>
        <v>7459.861490896662</v>
      </c>
      <c r="R8" s="22">
        <f t="shared" si="7"/>
        <v>7605.3733034352608</v>
      </c>
      <c r="S8" s="22">
        <f t="shared" si="7"/>
        <v>7805.3642200907552</v>
      </c>
      <c r="T8" s="22">
        <f t="shared" ref="T8" si="8">T9*T$11</f>
        <v>7968.7480250006211</v>
      </c>
    </row>
    <row r="9" spans="1:21" x14ac:dyDescent="0.2">
      <c r="B9" s="40" t="s">
        <v>169</v>
      </c>
      <c r="E9" s="41">
        <f t="shared" ref="E9" si="9">E8/E$11</f>
        <v>0.66806099041964651</v>
      </c>
      <c r="F9" s="41">
        <f t="shared" ref="F9" si="10">F8/F$11</f>
        <v>0.69632606199770375</v>
      </c>
      <c r="G9" s="41">
        <f t="shared" ref="G9" si="11">G8/G$11</f>
        <v>0.69989017023613398</v>
      </c>
      <c r="H9" s="41">
        <f t="shared" ref="H9" si="12">H8/H$11</f>
        <v>0.70010573618821037</v>
      </c>
      <c r="I9" s="41">
        <f t="shared" ref="I9:N9" si="13">I8/I$11</f>
        <v>0.71425052346348072</v>
      </c>
      <c r="J9" s="41">
        <f t="shared" si="13"/>
        <v>0.72099181511795862</v>
      </c>
      <c r="K9" s="41">
        <f t="shared" si="13"/>
        <v>0.73087383232824876</v>
      </c>
      <c r="L9" s="41">
        <f t="shared" si="13"/>
        <v>0.69143952299829647</v>
      </c>
      <c r="M9" s="41">
        <f t="shared" si="13"/>
        <v>0.67635759526528916</v>
      </c>
      <c r="N9" s="41">
        <f t="shared" si="13"/>
        <v>0.6801695249359353</v>
      </c>
      <c r="O9" s="42">
        <f>AVERAGE(L9:N9)</f>
        <v>0.68265554773317361</v>
      </c>
      <c r="P9" s="42">
        <f t="shared" ref="P9:S9" si="14">AVERAGE(M9:O9)</f>
        <v>0.67972755597813261</v>
      </c>
      <c r="Q9" s="42">
        <f t="shared" si="14"/>
        <v>0.68085087621574714</v>
      </c>
      <c r="R9" s="42">
        <f t="shared" si="14"/>
        <v>0.68107799330901775</v>
      </c>
      <c r="S9" s="42">
        <f t="shared" si="14"/>
        <v>0.68055214183429913</v>
      </c>
      <c r="T9" s="42">
        <f t="shared" ref="T9" si="15">AVERAGE(Q9:S9)</f>
        <v>0.68082700378635463</v>
      </c>
    </row>
    <row r="11" spans="1:21" s="24" customFormat="1" x14ac:dyDescent="0.2">
      <c r="B11" s="24" t="s">
        <v>170</v>
      </c>
      <c r="E11" s="26">
        <f t="shared" ref="E11:I11" si="16">E8+E5</f>
        <v>7411</v>
      </c>
      <c r="F11" s="26">
        <f t="shared" si="16"/>
        <v>6968</v>
      </c>
      <c r="G11" s="26">
        <f t="shared" si="16"/>
        <v>7284</v>
      </c>
      <c r="H11" s="26">
        <f t="shared" si="16"/>
        <v>7566</v>
      </c>
      <c r="I11" s="26">
        <f t="shared" si="16"/>
        <v>8119</v>
      </c>
      <c r="J11" s="26">
        <f>J8+J5</f>
        <v>8308</v>
      </c>
      <c r="K11" s="26">
        <f>K8+K5</f>
        <v>8457</v>
      </c>
      <c r="L11" s="26">
        <f>L8+L5</f>
        <v>9392</v>
      </c>
      <c r="M11" s="26">
        <f>M8+M5</f>
        <v>9631</v>
      </c>
      <c r="N11" s="26">
        <f>N8+N5</f>
        <v>10146</v>
      </c>
      <c r="O11" s="26">
        <f>O12*O$33</f>
        <v>10085.678826833708</v>
      </c>
      <c r="P11" s="26">
        <f t="shared" ref="P11" si="17">P12*P$33</f>
        <v>10558.617584685233</v>
      </c>
      <c r="Q11" s="26">
        <f t="shared" ref="Q11" si="18">Q12*Q$33</f>
        <v>10956.674583955137</v>
      </c>
      <c r="R11" s="26">
        <f t="shared" ref="R11" si="19">R12*R$33</f>
        <v>11166.670158412477</v>
      </c>
      <c r="S11" s="26">
        <f t="shared" ref="S11" si="20">S12*S$33</f>
        <v>11469.164139360251</v>
      </c>
      <c r="T11" s="26">
        <f t="shared" ref="T11" si="21">T12*T$33</f>
        <v>11704.512277984255</v>
      </c>
    </row>
    <row r="12" spans="1:21" s="45" customFormat="1" x14ac:dyDescent="0.2">
      <c r="B12" s="44" t="s">
        <v>175</v>
      </c>
      <c r="E12" s="46">
        <f t="shared" ref="E12:I12" si="22">E11/E$33</f>
        <v>0.83260307830580838</v>
      </c>
      <c r="F12" s="46">
        <f t="shared" si="22"/>
        <v>0.75838049629952109</v>
      </c>
      <c r="G12" s="46">
        <f t="shared" si="22"/>
        <v>0.74486143777482361</v>
      </c>
      <c r="H12" s="46">
        <f t="shared" si="22"/>
        <v>0.75178855325914151</v>
      </c>
      <c r="I12" s="46">
        <f t="shared" si="22"/>
        <v>0.76623254058135148</v>
      </c>
      <c r="J12" s="46">
        <f>J11/J$33</f>
        <v>0.7751446165329352</v>
      </c>
      <c r="K12" s="46">
        <f t="shared" ref="K12:N12" si="23">K11/K$33</f>
        <v>0.77594274704101296</v>
      </c>
      <c r="L12" s="46">
        <f t="shared" si="23"/>
        <v>0.75220246676277436</v>
      </c>
      <c r="M12" s="46">
        <f t="shared" si="23"/>
        <v>0.74920264488525867</v>
      </c>
      <c r="N12" s="46">
        <f t="shared" si="23"/>
        <v>0.75289403383793407</v>
      </c>
      <c r="O12" s="70">
        <f>AVERAGE(L12:N12)</f>
        <v>0.75143304849532244</v>
      </c>
      <c r="P12" s="70">
        <f>O12</f>
        <v>0.75143304849532244</v>
      </c>
      <c r="Q12" s="70">
        <f t="shared" ref="Q12:S12" si="24">P12</f>
        <v>0.75143304849532244</v>
      </c>
      <c r="R12" s="70">
        <f t="shared" si="24"/>
        <v>0.75143304849532244</v>
      </c>
      <c r="S12" s="70">
        <f t="shared" si="24"/>
        <v>0.75143304849532244</v>
      </c>
      <c r="T12" s="70">
        <f t="shared" ref="T12" si="25">S12</f>
        <v>0.75143304849532244</v>
      </c>
    </row>
    <row r="14" spans="1:21" x14ac:dyDescent="0.2">
      <c r="B14" s="49" t="s">
        <v>171</v>
      </c>
    </row>
    <row r="15" spans="1:21" x14ac:dyDescent="0.2">
      <c r="B15" t="s">
        <v>134</v>
      </c>
      <c r="E15" s="22">
        <f t="shared" ref="E15:I15" si="26">E16*E$21</f>
        <v>494.58912427472677</v>
      </c>
      <c r="F15" s="22">
        <f t="shared" si="26"/>
        <v>674.15614236509759</v>
      </c>
      <c r="G15" s="22">
        <f t="shared" si="26"/>
        <v>748.77402526084575</v>
      </c>
      <c r="H15" s="22">
        <f t="shared" si="26"/>
        <v>749.13587100185032</v>
      </c>
      <c r="I15" s="22">
        <f t="shared" si="26"/>
        <v>707.80145338095826</v>
      </c>
      <c r="J15" s="22">
        <f t="shared" ref="J15:O15" si="27">J16*J$21</f>
        <v>672.4097255657199</v>
      </c>
      <c r="K15" s="22">
        <f t="shared" si="27"/>
        <v>657.20610145441651</v>
      </c>
      <c r="L15" s="22">
        <f t="shared" si="27"/>
        <v>954.68611584327084</v>
      </c>
      <c r="M15" s="22">
        <f t="shared" si="27"/>
        <v>1043.4231128647077</v>
      </c>
      <c r="N15" s="22">
        <f t="shared" si="27"/>
        <v>1065.0354819633353</v>
      </c>
      <c r="O15" s="22">
        <f t="shared" si="27"/>
        <v>1000.9860782715388</v>
      </c>
      <c r="P15" s="22">
        <f t="shared" ref="P15:S15" si="28">P16*P$21</f>
        <v>1047.9244272525593</v>
      </c>
      <c r="Q15" s="22">
        <f t="shared" si="28"/>
        <v>1087.4308919604791</v>
      </c>
      <c r="R15" s="22">
        <f t="shared" si="28"/>
        <v>1108.2725874119712</v>
      </c>
      <c r="S15" s="22">
        <f t="shared" si="28"/>
        <v>1138.294588795166</v>
      </c>
      <c r="T15" s="22">
        <f t="shared" ref="T15" si="29">T16*T$21</f>
        <v>1161.6524821362634</v>
      </c>
    </row>
    <row r="16" spans="1:21" x14ac:dyDescent="0.2">
      <c r="B16" s="40" t="s">
        <v>172</v>
      </c>
      <c r="E16" s="42">
        <f t="shared" ref="E16:I16" si="30">E6</f>
        <v>0.33193900958035355</v>
      </c>
      <c r="F16" s="42">
        <f t="shared" si="30"/>
        <v>0.3036739380022962</v>
      </c>
      <c r="G16" s="42">
        <f t="shared" si="30"/>
        <v>0.30010982976386602</v>
      </c>
      <c r="H16" s="42">
        <f t="shared" si="30"/>
        <v>0.29989426381178957</v>
      </c>
      <c r="I16" s="42">
        <f t="shared" si="30"/>
        <v>0.28574947653651928</v>
      </c>
      <c r="J16" s="42">
        <f>J6</f>
        <v>0.27900818488204143</v>
      </c>
      <c r="K16" s="42">
        <f>K6</f>
        <v>0.26912616767175124</v>
      </c>
      <c r="L16" s="42">
        <f>L6</f>
        <v>0.30856047700170358</v>
      </c>
      <c r="M16" s="42">
        <f>M6</f>
        <v>0.32364240473471084</v>
      </c>
      <c r="N16" s="42">
        <f>N6</f>
        <v>0.31983047506406465</v>
      </c>
      <c r="O16" s="42">
        <f>AVERAGE(J16:N16)</f>
        <v>0.30003354187085435</v>
      </c>
      <c r="P16" s="42">
        <f>O16</f>
        <v>0.30003354187085435</v>
      </c>
      <c r="Q16" s="42">
        <f>P16</f>
        <v>0.30003354187085435</v>
      </c>
      <c r="R16" s="42">
        <f>Q16</f>
        <v>0.30003354187085435</v>
      </c>
      <c r="S16" s="42">
        <f>R16</f>
        <v>0.30003354187085435</v>
      </c>
      <c r="T16" s="42">
        <f t="shared" ref="T16" si="31">S16</f>
        <v>0.30003354187085435</v>
      </c>
    </row>
    <row r="18" spans="2:21" x14ac:dyDescent="0.2">
      <c r="B18" t="s">
        <v>168</v>
      </c>
      <c r="E18" s="22">
        <f t="shared" ref="E18:I18" si="32">E19*E$21</f>
        <v>995.41087572527329</v>
      </c>
      <c r="F18" s="22">
        <f t="shared" si="32"/>
        <v>1545.8438576349024</v>
      </c>
      <c r="G18" s="22">
        <f t="shared" si="32"/>
        <v>1746.2259747391543</v>
      </c>
      <c r="H18" s="22">
        <f t="shared" si="32"/>
        <v>1748.8641289981495</v>
      </c>
      <c r="I18" s="22">
        <f t="shared" si="32"/>
        <v>1769.1985466190417</v>
      </c>
      <c r="J18" s="22">
        <f t="shared" ref="J18:O18" si="33">J19*J$21</f>
        <v>1737.5902744342802</v>
      </c>
      <c r="K18" s="22">
        <f t="shared" si="33"/>
        <v>1784.7938985455835</v>
      </c>
      <c r="L18" s="22">
        <f t="shared" si="33"/>
        <v>2139.3138841567293</v>
      </c>
      <c r="M18" s="22">
        <f t="shared" si="33"/>
        <v>2180.5768871352921</v>
      </c>
      <c r="N18" s="22">
        <f t="shared" si="33"/>
        <v>2264.9645180366647</v>
      </c>
      <c r="O18" s="22">
        <f t="shared" si="33"/>
        <v>2335.2611693858607</v>
      </c>
      <c r="P18" s="22">
        <f t="shared" ref="P18:S18" si="34">P19*P$21</f>
        <v>2444.7664922967801</v>
      </c>
      <c r="Q18" s="22">
        <f t="shared" si="34"/>
        <v>2536.9335213641821</v>
      </c>
      <c r="R18" s="22">
        <f t="shared" si="34"/>
        <v>2585.5563775142682</v>
      </c>
      <c r="S18" s="22">
        <f t="shared" si="34"/>
        <v>2655.5965265026384</v>
      </c>
      <c r="T18" s="22">
        <f t="shared" ref="T18" si="35">T19*T$21</f>
        <v>2710.0895734112537</v>
      </c>
    </row>
    <row r="19" spans="2:21" x14ac:dyDescent="0.2">
      <c r="B19" s="40" t="s">
        <v>172</v>
      </c>
      <c r="E19" s="42">
        <f t="shared" ref="E19:I19" si="36">E9</f>
        <v>0.66806099041964651</v>
      </c>
      <c r="F19" s="42">
        <f t="shared" si="36"/>
        <v>0.69632606199770375</v>
      </c>
      <c r="G19" s="42">
        <f t="shared" si="36"/>
        <v>0.69989017023613398</v>
      </c>
      <c r="H19" s="42">
        <f t="shared" si="36"/>
        <v>0.70010573618821037</v>
      </c>
      <c r="I19" s="42">
        <f t="shared" si="36"/>
        <v>0.71425052346348072</v>
      </c>
      <c r="J19" s="42">
        <f>J9</f>
        <v>0.72099181511795862</v>
      </c>
      <c r="K19" s="42">
        <f>K9</f>
        <v>0.73087383232824876</v>
      </c>
      <c r="L19" s="42">
        <f>L9</f>
        <v>0.69143952299829647</v>
      </c>
      <c r="M19" s="42">
        <f>M9</f>
        <v>0.67635759526528916</v>
      </c>
      <c r="N19" s="42">
        <f>N9</f>
        <v>0.6801695249359353</v>
      </c>
      <c r="O19" s="42">
        <f>AVERAGE(J19:N19)</f>
        <v>0.69996645812914582</v>
      </c>
      <c r="P19" s="42">
        <f>O19</f>
        <v>0.69996645812914582</v>
      </c>
      <c r="Q19" s="42">
        <f>P19</f>
        <v>0.69996645812914582</v>
      </c>
      <c r="R19" s="42">
        <f>Q19</f>
        <v>0.69996645812914582</v>
      </c>
      <c r="S19" s="42">
        <f>R19</f>
        <v>0.69996645812914582</v>
      </c>
      <c r="T19" s="42">
        <f t="shared" ref="T19" si="37">S19</f>
        <v>0.69996645812914582</v>
      </c>
    </row>
    <row r="21" spans="2:21" x14ac:dyDescent="0.2">
      <c r="B21" s="24" t="s">
        <v>173</v>
      </c>
      <c r="E21" s="26">
        <f t="shared" ref="E21:I21" si="38">E33-E11</f>
        <v>1490</v>
      </c>
      <c r="F21" s="26">
        <f t="shared" si="38"/>
        <v>2220</v>
      </c>
      <c r="G21" s="26">
        <f t="shared" si="38"/>
        <v>2495</v>
      </c>
      <c r="H21" s="26">
        <f t="shared" si="38"/>
        <v>2498</v>
      </c>
      <c r="I21" s="26">
        <f t="shared" si="38"/>
        <v>2477</v>
      </c>
      <c r="J21" s="26">
        <f>J33-J11</f>
        <v>2410</v>
      </c>
      <c r="K21" s="26">
        <f>K33-K11</f>
        <v>2442</v>
      </c>
      <c r="L21" s="26">
        <f>L33-L11</f>
        <v>3094</v>
      </c>
      <c r="M21" s="26">
        <f>M33-M11</f>
        <v>3224</v>
      </c>
      <c r="N21" s="26">
        <f>N33-N11</f>
        <v>3330</v>
      </c>
      <c r="O21" s="26">
        <f>O22*O$33</f>
        <v>3336.2472476573989</v>
      </c>
      <c r="P21" s="26">
        <f t="shared" ref="P21:S21" si="39">P22*P$33</f>
        <v>3492.690919549339</v>
      </c>
      <c r="Q21" s="26">
        <f t="shared" si="39"/>
        <v>3624.3644133246607</v>
      </c>
      <c r="R21" s="26">
        <f t="shared" si="39"/>
        <v>3693.8289649262388</v>
      </c>
      <c r="S21" s="26">
        <f t="shared" si="39"/>
        <v>3793.8911152978039</v>
      </c>
      <c r="T21" s="26">
        <f t="shared" ref="T21" si="40">T22*T$33</f>
        <v>3871.7420555475164</v>
      </c>
      <c r="U21" s="22"/>
    </row>
    <row r="22" spans="2:21" s="45" customFormat="1" x14ac:dyDescent="0.2">
      <c r="B22" s="44" t="s">
        <v>175</v>
      </c>
      <c r="E22" s="46">
        <f t="shared" ref="E22:I22" si="41">E21/E$33</f>
        <v>0.16739692169419165</v>
      </c>
      <c r="F22" s="46">
        <f t="shared" si="41"/>
        <v>0.24161950370047888</v>
      </c>
      <c r="G22" s="46">
        <f t="shared" si="41"/>
        <v>0.25513856222517639</v>
      </c>
      <c r="H22" s="46">
        <f t="shared" si="41"/>
        <v>0.24821144674085852</v>
      </c>
      <c r="I22" s="46">
        <f t="shared" si="41"/>
        <v>0.23376745941864854</v>
      </c>
      <c r="J22" s="46">
        <f>J21/J$33</f>
        <v>0.22485538346706474</v>
      </c>
      <c r="K22" s="46">
        <f t="shared" ref="K22:N22" si="42">K21/K$33</f>
        <v>0.22405725295898707</v>
      </c>
      <c r="L22" s="46">
        <f t="shared" si="42"/>
        <v>0.2477975332372257</v>
      </c>
      <c r="M22" s="46">
        <f t="shared" si="42"/>
        <v>0.25079735511474133</v>
      </c>
      <c r="N22" s="46">
        <f t="shared" si="42"/>
        <v>0.2471059661620659</v>
      </c>
      <c r="O22" s="70">
        <f>AVERAGE(L22:N22)</f>
        <v>0.24856695150467764</v>
      </c>
      <c r="P22" s="70">
        <f>O22</f>
        <v>0.24856695150467764</v>
      </c>
      <c r="Q22" s="70">
        <f t="shared" ref="Q22:S22" si="43">P22</f>
        <v>0.24856695150467764</v>
      </c>
      <c r="R22" s="70">
        <f t="shared" si="43"/>
        <v>0.24856695150467764</v>
      </c>
      <c r="S22" s="70">
        <f t="shared" si="43"/>
        <v>0.24856695150467764</v>
      </c>
      <c r="T22" s="70">
        <f t="shared" ref="T22" si="44">S22</f>
        <v>0.24856695150467764</v>
      </c>
    </row>
    <row r="24" spans="2:21" x14ac:dyDescent="0.2">
      <c r="B24" s="49" t="s">
        <v>174</v>
      </c>
    </row>
    <row r="25" spans="2:21" x14ac:dyDescent="0.2">
      <c r="B25" t="s">
        <v>134</v>
      </c>
      <c r="E25" s="22">
        <f t="shared" ref="E25:I25" si="45">E15+E5</f>
        <v>2954.5891242747266</v>
      </c>
      <c r="F25" s="22">
        <f t="shared" si="45"/>
        <v>2790.1561423650974</v>
      </c>
      <c r="G25" s="22">
        <f t="shared" si="45"/>
        <v>2934.7740252608455</v>
      </c>
      <c r="H25" s="22">
        <f t="shared" si="45"/>
        <v>3018.1358710018503</v>
      </c>
      <c r="I25" s="22">
        <f t="shared" si="45"/>
        <v>3027.8014533809583</v>
      </c>
      <c r="J25" s="22">
        <f>J15+J5</f>
        <v>2990.4097255657198</v>
      </c>
      <c r="K25" s="22">
        <f>K15+K5</f>
        <v>2933.2061014544165</v>
      </c>
      <c r="L25" s="22">
        <f>L15+L5</f>
        <v>3852.6861158432707</v>
      </c>
      <c r="M25" s="22">
        <f>M15+M5</f>
        <v>4160.4231128647079</v>
      </c>
      <c r="N25" s="22">
        <f>N15+N5</f>
        <v>4310.0354819633358</v>
      </c>
      <c r="O25" s="22">
        <f>O27*DCF!O33</f>
        <v>4299.2202386797435</v>
      </c>
      <c r="P25" s="22">
        <f>P27*DCF!P33</f>
        <v>4576.4824896642713</v>
      </c>
      <c r="Q25" s="22">
        <f>Q27*DCF!Q33</f>
        <v>4762.9430280778442</v>
      </c>
      <c r="R25" s="22">
        <f>R27*DCF!R33</f>
        <v>4869.1832380684646</v>
      </c>
      <c r="S25" s="22">
        <f>S27*DCF!S33</f>
        <v>5018.9729621135093</v>
      </c>
      <c r="T25" s="22">
        <f>T27*DCF!T33</f>
        <v>5118.068494621295</v>
      </c>
    </row>
    <row r="26" spans="2:21" s="39" customFormat="1" x14ac:dyDescent="0.2">
      <c r="B26" s="40" t="s">
        <v>175</v>
      </c>
      <c r="E26" s="41">
        <f t="shared" ref="E26:I26" si="46">E25/E$33</f>
        <v>0.33193900958035349</v>
      </c>
      <c r="F26" s="41">
        <f t="shared" si="46"/>
        <v>0.3036739380022962</v>
      </c>
      <c r="G26" s="41">
        <f t="shared" si="46"/>
        <v>0.30010982976386597</v>
      </c>
      <c r="H26" s="41">
        <f t="shared" si="46"/>
        <v>0.29989426381178957</v>
      </c>
      <c r="I26" s="41">
        <f t="shared" si="46"/>
        <v>0.28574947653651928</v>
      </c>
      <c r="J26" s="41">
        <f>J25/J$33</f>
        <v>0.27900818488204143</v>
      </c>
      <c r="K26" s="41">
        <f>K25/K$33</f>
        <v>0.26912616767175124</v>
      </c>
      <c r="L26" s="41">
        <f>L25/L$33</f>
        <v>0.30856047700170358</v>
      </c>
      <c r="M26" s="41">
        <f>M25/M$33</f>
        <v>0.32364240473471084</v>
      </c>
      <c r="N26" s="41">
        <f>N25/N$33</f>
        <v>0.3198304750640647</v>
      </c>
      <c r="O26" s="41">
        <f t="shared" ref="O26:S26" si="47">O25/O$33</f>
        <v>0.32031321099663773</v>
      </c>
      <c r="P26" s="41">
        <f t="shared" si="47"/>
        <v>0.32569795818553698</v>
      </c>
      <c r="Q26" s="41">
        <f t="shared" si="47"/>
        <v>0.32665319864835474</v>
      </c>
      <c r="R26" s="41">
        <f t="shared" si="47"/>
        <v>0.32765946807407798</v>
      </c>
      <c r="S26" s="41">
        <f t="shared" si="47"/>
        <v>0.32883147432633414</v>
      </c>
      <c r="T26" s="41">
        <f t="shared" ref="T26" si="48">T25/T$33</f>
        <v>0.32858146670110394</v>
      </c>
    </row>
    <row r="27" spans="2:21" x14ac:dyDescent="0.2">
      <c r="B27" s="40" t="s">
        <v>177</v>
      </c>
      <c r="E27" s="41">
        <f>E25/DCF!E$33</f>
        <v>1.7866536398831265E-2</v>
      </c>
      <c r="F27" s="41">
        <f>F25/DCF!F$33</f>
        <v>1.495581122622801E-2</v>
      </c>
      <c r="G27" s="41">
        <f>G25/DCF!G$33</f>
        <v>1.4936300933709503E-2</v>
      </c>
      <c r="H27" s="41">
        <f>H25/DCF!H$33</f>
        <v>1.4946964293328894E-2</v>
      </c>
      <c r="I27" s="41">
        <f>I25/DCF!I$33</f>
        <v>1.547528521461845E-2</v>
      </c>
      <c r="J27" s="41">
        <f>J25/DCF!J$33</f>
        <v>1.3561395342438267E-2</v>
      </c>
      <c r="K27" s="41">
        <f>K25/DCF!K$33</f>
        <v>1.2238162616581552E-2</v>
      </c>
      <c r="L27" s="41">
        <f>L25/DCF!L$33</f>
        <v>1.2886660119154524E-2</v>
      </c>
      <c r="M27" s="41">
        <f>M25/DCF!M$33</f>
        <v>1.38764954501221E-2</v>
      </c>
      <c r="N27" s="41">
        <f>N25/DCF!N$33</f>
        <v>1.4440914970057414E-2</v>
      </c>
      <c r="O27" s="42">
        <f>AVERAGE(L27:N27)</f>
        <v>1.3734690179778013E-2</v>
      </c>
      <c r="P27" s="42">
        <f t="shared" ref="P27:S27" si="49">AVERAGE(M27:O27)</f>
        <v>1.4017366866652508E-2</v>
      </c>
      <c r="Q27" s="42">
        <f t="shared" si="49"/>
        <v>1.406432400549598E-2</v>
      </c>
      <c r="R27" s="42">
        <f t="shared" si="49"/>
        <v>1.3938793683975501E-2</v>
      </c>
      <c r="S27" s="42">
        <f t="shared" si="49"/>
        <v>1.4006828185374664E-2</v>
      </c>
      <c r="T27" s="42">
        <f t="shared" ref="T27" si="50">AVERAGE(Q27:S27)</f>
        <v>1.4003315291615382E-2</v>
      </c>
    </row>
    <row r="29" spans="2:21" x14ac:dyDescent="0.2">
      <c r="B29" t="s">
        <v>168</v>
      </c>
      <c r="E29" s="22">
        <f t="shared" ref="E29:I29" si="51">E18+E8</f>
        <v>5946.4108757252734</v>
      </c>
      <c r="F29" s="22">
        <f t="shared" si="51"/>
        <v>6397.8438576349026</v>
      </c>
      <c r="G29" s="22">
        <f t="shared" si="51"/>
        <v>6844.2259747391545</v>
      </c>
      <c r="H29" s="22">
        <f t="shared" si="51"/>
        <v>7045.8641289981497</v>
      </c>
      <c r="I29" s="22">
        <f t="shared" si="51"/>
        <v>7568.1985466190417</v>
      </c>
      <c r="J29" s="22">
        <f>J18+J8</f>
        <v>7727.5902744342802</v>
      </c>
      <c r="K29" s="22">
        <f>K18+K8</f>
        <v>7965.7938985455839</v>
      </c>
      <c r="L29" s="22">
        <f>L18+L8</f>
        <v>8633.3138841567288</v>
      </c>
      <c r="M29" s="22">
        <f>M18+M8</f>
        <v>8694.5768871352921</v>
      </c>
      <c r="N29" s="22">
        <f>N18+N8</f>
        <v>9165.9645180366642</v>
      </c>
      <c r="O29" s="22">
        <f>O31*DCF!O39</f>
        <v>9122.7058358113627</v>
      </c>
      <c r="P29" s="22">
        <f>P31*DCF!P39</f>
        <v>9474.8260145702989</v>
      </c>
      <c r="Q29" s="22">
        <f>Q31*DCF!Q39</f>
        <v>9818.0959692019514</v>
      </c>
      <c r="R29" s="22">
        <f>R31*DCF!R39</f>
        <v>9991.3158852702491</v>
      </c>
      <c r="S29" s="22">
        <f>S31*DCF!S39</f>
        <v>10244.082292544545</v>
      </c>
      <c r="T29" s="22">
        <f>T31*DCF!T39</f>
        <v>10458.185838910475</v>
      </c>
    </row>
    <row r="30" spans="2:21" s="39" customFormat="1" x14ac:dyDescent="0.2">
      <c r="B30" s="40" t="s">
        <v>175</v>
      </c>
      <c r="E30" s="41">
        <f t="shared" ref="E30:I30" si="52">E29/E$33</f>
        <v>0.66806099041964651</v>
      </c>
      <c r="F30" s="41">
        <f t="shared" si="52"/>
        <v>0.69632606199770386</v>
      </c>
      <c r="G30" s="41">
        <f t="shared" si="52"/>
        <v>0.69989017023613398</v>
      </c>
      <c r="H30" s="41">
        <f t="shared" si="52"/>
        <v>0.70010573618821037</v>
      </c>
      <c r="I30" s="41">
        <f t="shared" si="52"/>
        <v>0.71425052346348072</v>
      </c>
      <c r="J30" s="41">
        <f>J29/J$33</f>
        <v>0.72099181511795862</v>
      </c>
      <c r="K30" s="41">
        <f>K29/K$33</f>
        <v>0.73087383232824887</v>
      </c>
      <c r="L30" s="41">
        <f>L29/L$33</f>
        <v>0.69143952299829636</v>
      </c>
      <c r="M30" s="41">
        <f>M29/M$33</f>
        <v>0.67635759526528916</v>
      </c>
      <c r="N30" s="41">
        <f>N29/N$33</f>
        <v>0.6801695249359353</v>
      </c>
      <c r="O30" s="41">
        <f t="shared" ref="O30:S30" si="53">O29/O$33</f>
        <v>0.67968678900336221</v>
      </c>
      <c r="P30" s="41">
        <f t="shared" si="53"/>
        <v>0.67430204181446296</v>
      </c>
      <c r="Q30" s="41">
        <f t="shared" si="53"/>
        <v>0.67334680135164526</v>
      </c>
      <c r="R30" s="41">
        <f t="shared" si="53"/>
        <v>0.67234053192592202</v>
      </c>
      <c r="S30" s="41">
        <f t="shared" si="53"/>
        <v>0.67116852567366581</v>
      </c>
      <c r="T30" s="41">
        <f t="shared" ref="T30" si="54">T29/T$33</f>
        <v>0.67141853329889611</v>
      </c>
    </row>
    <row r="31" spans="2:21" s="39" customFormat="1" x14ac:dyDescent="0.2">
      <c r="B31" s="40" t="s">
        <v>178</v>
      </c>
      <c r="C31"/>
      <c r="D31"/>
      <c r="E31" s="41">
        <f>E29/DCF!E39</f>
        <v>0.15839355590339549</v>
      </c>
      <c r="F31" s="41">
        <f>F29/DCF!F39</f>
        <v>0.16017434488232987</v>
      </c>
      <c r="G31" s="41">
        <f>G29/DCF!G39</f>
        <v>0.15671526972589825</v>
      </c>
      <c r="H31" s="41">
        <f>H29/DCF!H39</f>
        <v>0.16214908358452004</v>
      </c>
      <c r="I31" s="41">
        <f>I29/DCF!I39</f>
        <v>0.18121345049849252</v>
      </c>
      <c r="J31" s="41">
        <f>J29/DCF!J39</f>
        <v>0.16058998907801914</v>
      </c>
      <c r="K31" s="41">
        <f>K29/DCF!K39</f>
        <v>0.15275065482646999</v>
      </c>
      <c r="L31" s="41">
        <f>L29/DCF!L39</f>
        <v>0.17353045937080117</v>
      </c>
      <c r="M31" s="41">
        <f>M29/DCF!M39</f>
        <v>0.1746249625855652</v>
      </c>
      <c r="N31" s="41">
        <f>N29/DCF!N39</f>
        <v>0.18434053693535515</v>
      </c>
      <c r="O31" s="42">
        <f>AVERAGE(L31:N31)</f>
        <v>0.17749865296390718</v>
      </c>
      <c r="P31" s="42">
        <f t="shared" ref="P31:S31" si="55">AVERAGE(M31:O31)</f>
        <v>0.1788213841616092</v>
      </c>
      <c r="Q31" s="42">
        <f t="shared" si="55"/>
        <v>0.18022019135362385</v>
      </c>
      <c r="R31" s="42">
        <f t="shared" si="55"/>
        <v>0.17884674282638011</v>
      </c>
      <c r="S31" s="42">
        <f t="shared" si="55"/>
        <v>0.17929610611387106</v>
      </c>
      <c r="T31" s="42">
        <f t="shared" ref="T31" si="56">AVERAGE(Q31:S31)</f>
        <v>0.17945434676462502</v>
      </c>
    </row>
    <row r="33" spans="1:21" s="24" customFormat="1" x14ac:dyDescent="0.2">
      <c r="A33" t="s">
        <v>126</v>
      </c>
      <c r="B33" s="75" t="s">
        <v>176</v>
      </c>
      <c r="C33" s="72"/>
      <c r="D33" s="72"/>
      <c r="E33" s="73">
        <f>CFS!C15</f>
        <v>8901</v>
      </c>
      <c r="F33" s="73">
        <f>CFS!D15</f>
        <v>9188</v>
      </c>
      <c r="G33" s="73">
        <f>CFS!E15</f>
        <v>9779</v>
      </c>
      <c r="H33" s="73">
        <f>CFS!F15</f>
        <v>10064</v>
      </c>
      <c r="I33" s="73">
        <f>CFS!G15</f>
        <v>10596</v>
      </c>
      <c r="J33" s="73">
        <f>CFS!H15</f>
        <v>10718</v>
      </c>
      <c r="K33" s="73">
        <f>CFS!I15</f>
        <v>10899</v>
      </c>
      <c r="L33" s="73">
        <f>CFS!J15</f>
        <v>12486</v>
      </c>
      <c r="M33" s="73">
        <f>CFS!K15</f>
        <v>12855</v>
      </c>
      <c r="N33" s="73">
        <f>CFS!L15</f>
        <v>13476</v>
      </c>
      <c r="O33" s="73">
        <f>O29+O25</f>
        <v>13421.926074491106</v>
      </c>
      <c r="P33" s="73">
        <f t="shared" ref="P33:S33" si="57">P29+P25</f>
        <v>14051.30850423457</v>
      </c>
      <c r="Q33" s="73">
        <f t="shared" si="57"/>
        <v>14581.038997279797</v>
      </c>
      <c r="R33" s="73">
        <f t="shared" si="57"/>
        <v>14860.499123338714</v>
      </c>
      <c r="S33" s="73">
        <f t="shared" si="57"/>
        <v>15263.055254658055</v>
      </c>
      <c r="T33" s="74">
        <f t="shared" ref="T33" si="58">T29+T25</f>
        <v>15576.25433353177</v>
      </c>
    </row>
    <row r="35" spans="1:21" x14ac:dyDescent="0.2">
      <c r="A35" t="s">
        <v>126</v>
      </c>
      <c r="B35" s="34" t="s">
        <v>191</v>
      </c>
      <c r="C35" s="67"/>
      <c r="D35" s="67"/>
      <c r="E35" s="36">
        <f t="shared" ref="E35:G35" si="59">F35-365</f>
        <v>42735</v>
      </c>
      <c r="F35" s="36">
        <f t="shared" si="59"/>
        <v>43100</v>
      </c>
      <c r="G35" s="36">
        <f t="shared" si="59"/>
        <v>43465</v>
      </c>
      <c r="H35" s="36">
        <f>I35-366</f>
        <v>43830</v>
      </c>
      <c r="I35" s="36">
        <f>J35-365</f>
        <v>44196</v>
      </c>
      <c r="J35" s="36">
        <v>44561</v>
      </c>
      <c r="K35" s="36">
        <f>J35+365</f>
        <v>44926</v>
      </c>
      <c r="L35" s="36">
        <f t="shared" ref="L35" si="60">K35+365</f>
        <v>45291</v>
      </c>
      <c r="M35" s="36">
        <f t="shared" ref="M35" si="61">L35+365</f>
        <v>45656</v>
      </c>
      <c r="N35" s="36">
        <f t="shared" ref="N35" si="62">M35+365</f>
        <v>46021</v>
      </c>
      <c r="O35" s="38">
        <f t="shared" ref="O35" si="63">N35+365</f>
        <v>46386</v>
      </c>
      <c r="P35" s="38">
        <f t="shared" ref="P35" si="64">O35+365</f>
        <v>46751</v>
      </c>
      <c r="Q35" s="38">
        <f t="shared" ref="Q35" si="65">P35+365</f>
        <v>47116</v>
      </c>
      <c r="R35" s="38">
        <f t="shared" ref="R35" si="66">Q35+365</f>
        <v>47481</v>
      </c>
      <c r="S35" s="38">
        <f t="shared" ref="S35:T35" si="67">R35+365</f>
        <v>47846</v>
      </c>
      <c r="T35" s="38">
        <f t="shared" si="67"/>
        <v>48211</v>
      </c>
      <c r="U35" s="71"/>
    </row>
    <row r="36" spans="1:21" ht="5" customHeight="1" x14ac:dyDescent="0.2"/>
    <row r="37" spans="1:21" x14ac:dyDescent="0.2">
      <c r="B37" s="49" t="s">
        <v>179</v>
      </c>
    </row>
    <row r="38" spans="1:21" x14ac:dyDescent="0.2">
      <c r="B38" s="76" t="s">
        <v>180</v>
      </c>
      <c r="E38" s="68">
        <v>29617</v>
      </c>
      <c r="F38" s="22">
        <f>E40</f>
        <v>35011</v>
      </c>
      <c r="G38" s="22">
        <f t="shared" ref="G38:J38" si="68">F40</f>
        <v>37424</v>
      </c>
      <c r="H38" s="22">
        <f t="shared" si="68"/>
        <v>39827</v>
      </c>
      <c r="I38" s="22">
        <f t="shared" si="68"/>
        <v>42210</v>
      </c>
      <c r="J38" s="22">
        <f t="shared" si="68"/>
        <v>43817</v>
      </c>
      <c r="K38" s="22">
        <f>J40</f>
        <v>44773</v>
      </c>
      <c r="L38" s="22">
        <f t="shared" ref="L38:N38" si="69">K40</f>
        <v>46298</v>
      </c>
      <c r="M38" s="22">
        <f t="shared" si="69"/>
        <v>57313</v>
      </c>
      <c r="N38" s="22">
        <f t="shared" si="69"/>
        <v>58711</v>
      </c>
    </row>
    <row r="39" spans="1:21" x14ac:dyDescent="0.2">
      <c r="B39" s="76" t="s">
        <v>182</v>
      </c>
      <c r="E39" s="22">
        <f t="shared" ref="E39:I39" si="70">E40-E38</f>
        <v>5394</v>
      </c>
      <c r="F39" s="22">
        <f t="shared" si="70"/>
        <v>2413</v>
      </c>
      <c r="G39" s="22">
        <f t="shared" si="70"/>
        <v>2403</v>
      </c>
      <c r="H39" s="22">
        <f t="shared" si="70"/>
        <v>2383</v>
      </c>
      <c r="I39" s="22">
        <f t="shared" si="70"/>
        <v>1607</v>
      </c>
      <c r="J39" s="22">
        <f>J40-J38</f>
        <v>956</v>
      </c>
      <c r="K39" s="22">
        <f t="shared" ref="K39:N39" si="71">K40-K38</f>
        <v>1525</v>
      </c>
      <c r="L39" s="22">
        <f t="shared" si="71"/>
        <v>11015</v>
      </c>
      <c r="M39" s="22">
        <f t="shared" si="71"/>
        <v>1398</v>
      </c>
      <c r="N39" s="22">
        <f t="shared" si="71"/>
        <v>4268</v>
      </c>
    </row>
    <row r="40" spans="1:21" x14ac:dyDescent="0.2">
      <c r="B40" s="76" t="s">
        <v>181</v>
      </c>
      <c r="E40" s="68">
        <v>35011</v>
      </c>
      <c r="F40" s="68">
        <v>37424</v>
      </c>
      <c r="G40" s="68">
        <v>39827</v>
      </c>
      <c r="H40" s="68">
        <v>42210</v>
      </c>
      <c r="I40" s="68">
        <v>43817</v>
      </c>
      <c r="J40" s="68">
        <v>44773</v>
      </c>
      <c r="K40" s="68">
        <v>46298</v>
      </c>
      <c r="L40" s="68">
        <v>57313</v>
      </c>
      <c r="M40" s="68">
        <v>58711</v>
      </c>
      <c r="N40" s="68">
        <v>62979</v>
      </c>
    </row>
    <row r="42" spans="1:21" x14ac:dyDescent="0.2">
      <c r="B42" s="49" t="s">
        <v>168</v>
      </c>
    </row>
    <row r="43" spans="1:21" x14ac:dyDescent="0.2">
      <c r="B43" s="76" t="s">
        <v>180</v>
      </c>
      <c r="E43" s="68">
        <v>84256</v>
      </c>
      <c r="F43" s="22">
        <f>E45</f>
        <v>87172</v>
      </c>
      <c r="G43" s="22">
        <f t="shared" ref="G43:I43" si="72">F45</f>
        <v>91891</v>
      </c>
      <c r="H43" s="22">
        <f t="shared" si="72"/>
        <v>96246</v>
      </c>
      <c r="I43" s="22">
        <f t="shared" si="72"/>
        <v>101841</v>
      </c>
      <c r="J43" s="22">
        <f>I45</f>
        <v>119376</v>
      </c>
      <c r="K43" s="22">
        <f>J45</f>
        <v>125537</v>
      </c>
      <c r="L43" s="22">
        <f t="shared" ref="L43:N43" si="73">K45</f>
        <v>131094</v>
      </c>
      <c r="M43" s="22">
        <f t="shared" si="73"/>
        <v>139469</v>
      </c>
      <c r="N43" s="22">
        <f t="shared" si="73"/>
        <v>146885</v>
      </c>
    </row>
    <row r="44" spans="1:21" x14ac:dyDescent="0.2">
      <c r="B44" s="76" t="s">
        <v>182</v>
      </c>
      <c r="E44" s="22">
        <f t="shared" ref="E44:I44" si="74">E45-E43</f>
        <v>2916</v>
      </c>
      <c r="F44" s="22">
        <f t="shared" si="74"/>
        <v>4719</v>
      </c>
      <c r="G44" s="22">
        <f t="shared" si="74"/>
        <v>4355</v>
      </c>
      <c r="H44" s="22">
        <f t="shared" si="74"/>
        <v>5595</v>
      </c>
      <c r="I44" s="22">
        <f t="shared" si="74"/>
        <v>17535</v>
      </c>
      <c r="J44" s="22">
        <f>J45-J43</f>
        <v>6161</v>
      </c>
      <c r="K44" s="22">
        <f t="shared" ref="K44:N44" si="75">K45-K43</f>
        <v>5557</v>
      </c>
      <c r="L44" s="22">
        <f t="shared" si="75"/>
        <v>8375</v>
      </c>
      <c r="M44" s="22">
        <f t="shared" si="75"/>
        <v>7416</v>
      </c>
      <c r="N44" s="22">
        <f t="shared" si="75"/>
        <v>10485</v>
      </c>
    </row>
    <row r="45" spans="1:21" x14ac:dyDescent="0.2">
      <c r="B45" s="76" t="s">
        <v>181</v>
      </c>
      <c r="E45" s="68">
        <v>87172</v>
      </c>
      <c r="F45" s="68">
        <v>91891</v>
      </c>
      <c r="G45" s="68">
        <v>96246</v>
      </c>
      <c r="H45" s="68">
        <v>101841</v>
      </c>
      <c r="I45" s="68">
        <v>119376</v>
      </c>
      <c r="J45" s="68">
        <v>125537</v>
      </c>
      <c r="K45" s="68">
        <v>131094</v>
      </c>
      <c r="L45" s="68">
        <v>139469</v>
      </c>
      <c r="M45" s="68">
        <v>146885</v>
      </c>
      <c r="N45" s="68">
        <v>157370</v>
      </c>
    </row>
    <row r="48" spans="1:21" x14ac:dyDescent="0.2">
      <c r="B48" s="49" t="s">
        <v>150</v>
      </c>
    </row>
    <row r="49" spans="1:20" x14ac:dyDescent="0.2">
      <c r="B49" t="s">
        <v>183</v>
      </c>
      <c r="E49" s="22">
        <f t="shared" ref="E49:I49" si="76">E39</f>
        <v>5394</v>
      </c>
      <c r="F49" s="22">
        <f t="shared" si="76"/>
        <v>2413</v>
      </c>
      <c r="G49" s="22">
        <f t="shared" si="76"/>
        <v>2403</v>
      </c>
      <c r="H49" s="22">
        <f t="shared" si="76"/>
        <v>2383</v>
      </c>
      <c r="I49" s="22">
        <f t="shared" si="76"/>
        <v>1607</v>
      </c>
      <c r="J49" s="22">
        <f>J39</f>
        <v>956</v>
      </c>
      <c r="K49" s="22">
        <f t="shared" ref="K49:N49" si="77">K39</f>
        <v>1525</v>
      </c>
      <c r="L49" s="22">
        <f t="shared" si="77"/>
        <v>11015</v>
      </c>
      <c r="M49" s="22">
        <f t="shared" si="77"/>
        <v>1398</v>
      </c>
      <c r="N49" s="22">
        <f t="shared" si="77"/>
        <v>4268</v>
      </c>
    </row>
    <row r="50" spans="1:20" x14ac:dyDescent="0.2">
      <c r="B50" s="76" t="s">
        <v>189</v>
      </c>
      <c r="E50" s="41">
        <f t="shared" ref="E50:I50" si="78">E49/E$61</f>
        <v>0.64909747292418774</v>
      </c>
      <c r="F50" s="41">
        <f t="shared" si="78"/>
        <v>0.33833426808749301</v>
      </c>
      <c r="G50" s="41">
        <f t="shared" si="78"/>
        <v>0.35557857354246819</v>
      </c>
      <c r="H50" s="41">
        <f t="shared" si="78"/>
        <v>0.29869641514163953</v>
      </c>
      <c r="I50" s="41">
        <f t="shared" si="78"/>
        <v>8.3951520217323161E-2</v>
      </c>
      <c r="J50" s="41">
        <f>J49/J$61</f>
        <v>0.13432626106505549</v>
      </c>
      <c r="K50" s="41">
        <f>K49/K$61</f>
        <v>0.21533465122846654</v>
      </c>
      <c r="L50" s="41">
        <f>L49/L$61</f>
        <v>0.56807632800412589</v>
      </c>
      <c r="M50" s="41">
        <f>M49/M$61</f>
        <v>0.15861130020422057</v>
      </c>
      <c r="N50" s="41">
        <f>N49/N$61</f>
        <v>0.28929709211685761</v>
      </c>
    </row>
    <row r="51" spans="1:20" x14ac:dyDescent="0.2">
      <c r="B51" s="76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20" x14ac:dyDescent="0.2">
      <c r="B52" t="s">
        <v>184</v>
      </c>
      <c r="E52" s="22">
        <f t="shared" ref="E52:I52" si="79">E50*E$63</f>
        <v>8408.4086642599286</v>
      </c>
      <c r="F52" s="22">
        <f t="shared" si="79"/>
        <v>3961.2176107683681</v>
      </c>
      <c r="G52" s="22">
        <f t="shared" si="79"/>
        <v>5169.0457235868598</v>
      </c>
      <c r="H52" s="22">
        <f t="shared" si="79"/>
        <v>4772.8700175482581</v>
      </c>
      <c r="I52" s="22">
        <f t="shared" si="79"/>
        <v>1092.377181067809</v>
      </c>
      <c r="J52" s="22">
        <f>J50*J$63</f>
        <v>1783.3154418996767</v>
      </c>
      <c r="K52" s="22">
        <f>K50*K$63</f>
        <v>3329.9350465970065</v>
      </c>
      <c r="L52" s="22">
        <f>L50*L$63</f>
        <v>11025.793450232079</v>
      </c>
      <c r="M52" s="22">
        <f>M50*M$63</f>
        <v>3009.8080326752893</v>
      </c>
      <c r="N52" s="22">
        <f>N50*N$63</f>
        <v>6054.1202467294788</v>
      </c>
      <c r="O52" s="22">
        <f>O53*DCF!O33</f>
        <v>5583.2364703563808</v>
      </c>
      <c r="P52" s="22">
        <f>P53*DCF!P33</f>
        <v>5823.452815673345</v>
      </c>
      <c r="Q52" s="22">
        <f>Q53*DCF!Q33</f>
        <v>6040.483742364886</v>
      </c>
      <c r="R52" s="22">
        <f>R53*DCF!R33</f>
        <v>6230.8331859539267</v>
      </c>
      <c r="S52" s="22">
        <f>S53*DCF!S33</f>
        <v>6391.3154125401588</v>
      </c>
      <c r="T52" s="22">
        <f>T53*DCF!T33</f>
        <v>6519.1417207909617</v>
      </c>
    </row>
    <row r="53" spans="1:20" x14ac:dyDescent="0.2">
      <c r="B53" s="40" t="s">
        <v>177</v>
      </c>
      <c r="E53" s="41">
        <f>E52/DCF!E33</f>
        <v>5.0846034131099525E-2</v>
      </c>
      <c r="F53" s="41">
        <f>F52/DCF!F33</f>
        <v>2.1232941738681219E-2</v>
      </c>
      <c r="G53" s="41">
        <f>G52/DCF!G33</f>
        <v>2.6307450523634559E-2</v>
      </c>
      <c r="H53" s="41">
        <f>H52/DCF!H33</f>
        <v>2.3637079567697877E-2</v>
      </c>
      <c r="I53" s="41">
        <f>I52/DCF!I33</f>
        <v>5.5832090377288942E-3</v>
      </c>
      <c r="J53" s="41">
        <f>J52/DCF!J33</f>
        <v>8.0872682833792574E-3</v>
      </c>
      <c r="K53" s="41">
        <f>K52/DCF!K33</f>
        <v>1.3893427598797576E-2</v>
      </c>
      <c r="L53" s="41">
        <f>L52/DCF!L33</f>
        <v>3.6879633706168501E-2</v>
      </c>
      <c r="M53" s="41">
        <f>M52/DCF!M33</f>
        <v>1.0038783637657809E-2</v>
      </c>
      <c r="N53" s="41">
        <f>N52/DCF!N33</f>
        <v>2.0284528066506328E-2</v>
      </c>
      <c r="O53" s="42">
        <f>AVERAGE(J53:N53)</f>
        <v>1.7836728258501893E-2</v>
      </c>
      <c r="P53" s="42">
        <f>O53</f>
        <v>1.7836728258501893E-2</v>
      </c>
      <c r="Q53" s="42">
        <f t="shared" ref="Q53:S53" si="80">P53</f>
        <v>1.7836728258501893E-2</v>
      </c>
      <c r="R53" s="42">
        <f t="shared" si="80"/>
        <v>1.7836728258501893E-2</v>
      </c>
      <c r="S53" s="42">
        <f t="shared" si="80"/>
        <v>1.7836728258501893E-2</v>
      </c>
      <c r="T53" s="42">
        <f t="shared" ref="T53" si="81">S53</f>
        <v>1.7836728258501893E-2</v>
      </c>
    </row>
    <row r="55" spans="1:20" x14ac:dyDescent="0.2">
      <c r="B55" t="s">
        <v>185</v>
      </c>
      <c r="E55" s="22">
        <f t="shared" ref="E55:I55" si="82">E44</f>
        <v>2916</v>
      </c>
      <c r="F55" s="22">
        <f t="shared" si="82"/>
        <v>4719</v>
      </c>
      <c r="G55" s="22">
        <f t="shared" si="82"/>
        <v>4355</v>
      </c>
      <c r="H55" s="22">
        <f t="shared" si="82"/>
        <v>5595</v>
      </c>
      <c r="I55" s="22">
        <f t="shared" si="82"/>
        <v>17535</v>
      </c>
      <c r="J55" s="22">
        <f>J44</f>
        <v>6161</v>
      </c>
      <c r="K55" s="22">
        <f>K44</f>
        <v>5557</v>
      </c>
      <c r="L55" s="22">
        <f>L44</f>
        <v>8375</v>
      </c>
      <c r="M55" s="22">
        <f>M44</f>
        <v>7416</v>
      </c>
      <c r="N55" s="22">
        <f>N44</f>
        <v>10485</v>
      </c>
    </row>
    <row r="56" spans="1:20" x14ac:dyDescent="0.2">
      <c r="B56" s="76" t="s">
        <v>189</v>
      </c>
      <c r="E56" s="41">
        <f t="shared" ref="E56:I56" si="83">E55/E$61</f>
        <v>0.35090252707581226</v>
      </c>
      <c r="F56" s="41">
        <f t="shared" si="83"/>
        <v>0.66166573191250699</v>
      </c>
      <c r="G56" s="41">
        <f t="shared" si="83"/>
        <v>0.64442142645753187</v>
      </c>
      <c r="H56" s="41">
        <f t="shared" si="83"/>
        <v>0.70130358485836053</v>
      </c>
      <c r="I56" s="41">
        <f t="shared" si="83"/>
        <v>0.91604847978267678</v>
      </c>
      <c r="J56" s="41">
        <f>J55/J$61</f>
        <v>0.86567373893494448</v>
      </c>
      <c r="K56" s="41">
        <f>K55/K$61</f>
        <v>0.78466534877153349</v>
      </c>
      <c r="L56" s="41">
        <f>L55/L$61</f>
        <v>0.43192367199587417</v>
      </c>
      <c r="M56" s="41">
        <f>M55/M$61</f>
        <v>0.84138869979577946</v>
      </c>
      <c r="N56" s="41">
        <f>N55/N$61</f>
        <v>0.71070290788314239</v>
      </c>
    </row>
    <row r="57" spans="1:20" x14ac:dyDescent="0.2">
      <c r="B57" s="76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20" x14ac:dyDescent="0.2">
      <c r="B58" t="s">
        <v>186</v>
      </c>
      <c r="E58" s="22">
        <f t="shared" ref="E58:I58" si="84">E56*E$63</f>
        <v>4545.5913357400723</v>
      </c>
      <c r="F58" s="22">
        <f t="shared" si="84"/>
        <v>7746.7823892316319</v>
      </c>
      <c r="G58" s="22">
        <f t="shared" si="84"/>
        <v>9367.9542764131402</v>
      </c>
      <c r="H58" s="22">
        <f t="shared" si="84"/>
        <v>11206.129982451743</v>
      </c>
      <c r="I58" s="22">
        <f t="shared" si="84"/>
        <v>11919.62281893219</v>
      </c>
      <c r="J58" s="22">
        <f>J56*J$63</f>
        <v>11492.684558100324</v>
      </c>
      <c r="K58" s="22">
        <f>K56*K$63</f>
        <v>12134.064953402994</v>
      </c>
      <c r="L58" s="22">
        <f>L56*L$63</f>
        <v>8383.2065497679214</v>
      </c>
      <c r="M58" s="22">
        <f>M56*M$63</f>
        <v>15966.19196732471</v>
      </c>
      <c r="N58" s="22">
        <f>N56*N$63</f>
        <v>14872.879753270521</v>
      </c>
      <c r="O58" s="22">
        <f>O59*DCF!O39</f>
        <v>14022.089123911055</v>
      </c>
      <c r="P58" s="22">
        <f>P59*DCF!P39</f>
        <v>14455.592769236553</v>
      </c>
      <c r="Q58" s="22">
        <f>Q59*DCF!Q39</f>
        <v>14863.050040464916</v>
      </c>
      <c r="R58" s="22">
        <f>R59*DCF!R39</f>
        <v>15241.431839561908</v>
      </c>
      <c r="S58" s="22">
        <f>S59*DCF!S39</f>
        <v>15587.853457420515</v>
      </c>
      <c r="T58" s="22">
        <f>T59*DCF!T39</f>
        <v>15899.610526568926</v>
      </c>
    </row>
    <row r="59" spans="1:20" x14ac:dyDescent="0.2">
      <c r="B59" s="40" t="s">
        <v>178</v>
      </c>
      <c r="E59" s="41">
        <f>E58/DCF!E39</f>
        <v>0.12108015917479283</v>
      </c>
      <c r="F59" s="41">
        <f>F58/DCF!F39</f>
        <v>0.19394593268486673</v>
      </c>
      <c r="G59" s="41">
        <f>G58/DCF!G39</f>
        <v>0.21450219303489892</v>
      </c>
      <c r="H59" s="41">
        <f>H58/DCF!H39</f>
        <v>0.25789082416523007</v>
      </c>
      <c r="I59" s="41">
        <f>I58/DCF!I39</f>
        <v>0.28540424334192582</v>
      </c>
      <c r="J59" s="41">
        <f>J58/DCF!J39</f>
        <v>0.23883384368454538</v>
      </c>
      <c r="K59" s="41">
        <f>K58/DCF!K39</f>
        <v>0.23268068329983307</v>
      </c>
      <c r="L59" s="41">
        <f>L58/DCF!L39</f>
        <v>0.16850327731639406</v>
      </c>
      <c r="M59" s="41">
        <f>M58/DCF!M39</f>
        <v>0.32067065610212314</v>
      </c>
      <c r="N59" s="41">
        <f>N58/DCF!N39</f>
        <v>0.2991146904505062</v>
      </c>
      <c r="O59" s="42">
        <f>AVERAGE(M59:N59,J59:K59)</f>
        <v>0.27282496838425196</v>
      </c>
      <c r="P59" s="42">
        <f>O59</f>
        <v>0.27282496838425196</v>
      </c>
      <c r="Q59" s="42">
        <f t="shared" ref="Q59:S59" si="85">P59</f>
        <v>0.27282496838425196</v>
      </c>
      <c r="R59" s="42">
        <f t="shared" si="85"/>
        <v>0.27282496838425196</v>
      </c>
      <c r="S59" s="42">
        <f t="shared" si="85"/>
        <v>0.27282496838425196</v>
      </c>
      <c r="T59" s="42">
        <f t="shared" ref="T59" si="86">S59</f>
        <v>0.27282496838425196</v>
      </c>
    </row>
    <row r="60" spans="1:20" x14ac:dyDescent="0.2">
      <c r="O60" s="77"/>
    </row>
    <row r="61" spans="1:20" x14ac:dyDescent="0.2">
      <c r="B61" t="s">
        <v>190</v>
      </c>
      <c r="E61" s="22">
        <f t="shared" ref="E61:I61" si="87">E55+E49</f>
        <v>8310</v>
      </c>
      <c r="F61" s="22">
        <f t="shared" si="87"/>
        <v>7132</v>
      </c>
      <c r="G61" s="22">
        <f t="shared" si="87"/>
        <v>6758</v>
      </c>
      <c r="H61" s="22">
        <f t="shared" si="87"/>
        <v>7978</v>
      </c>
      <c r="I61" s="22">
        <f t="shared" si="87"/>
        <v>19142</v>
      </c>
      <c r="J61" s="22">
        <f>J55+J49</f>
        <v>7117</v>
      </c>
      <c r="K61" s="22">
        <f>K55+K49</f>
        <v>7082</v>
      </c>
      <c r="L61" s="22">
        <f>L55+L49</f>
        <v>19390</v>
      </c>
      <c r="M61" s="22">
        <f>M55+M49</f>
        <v>8814</v>
      </c>
      <c r="N61" s="22">
        <f>N55+N49</f>
        <v>14753</v>
      </c>
    </row>
    <row r="62" spans="1:20" x14ac:dyDescent="0.2"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20" x14ac:dyDescent="0.2">
      <c r="A63" t="s">
        <v>126</v>
      </c>
      <c r="B63" s="78" t="s">
        <v>187</v>
      </c>
      <c r="C63" s="79"/>
      <c r="D63" s="79"/>
      <c r="E63" s="80">
        <f>-CFS!C41</f>
        <v>12954</v>
      </c>
      <c r="F63" s="80">
        <f>-CFS!D41</f>
        <v>11708</v>
      </c>
      <c r="G63" s="80">
        <f>-CFS!E41</f>
        <v>14537</v>
      </c>
      <c r="H63" s="80">
        <f>-CFS!F41</f>
        <v>15979</v>
      </c>
      <c r="I63" s="80">
        <f>-CFS!G41</f>
        <v>13012</v>
      </c>
      <c r="J63" s="80">
        <f>-CFS!H41</f>
        <v>13276</v>
      </c>
      <c r="K63" s="80">
        <f>-CFS!I41</f>
        <v>15464</v>
      </c>
      <c r="L63" s="80">
        <f>-CFS!J41</f>
        <v>19409</v>
      </c>
      <c r="M63" s="80">
        <f>-CFS!K41</f>
        <v>18976</v>
      </c>
      <c r="N63" s="80">
        <f>-CFS!L41</f>
        <v>20927</v>
      </c>
      <c r="O63" s="80">
        <f>O64*DCF!O45</f>
        <v>20654.986613864436</v>
      </c>
      <c r="P63" s="80">
        <f>P64*DCF!P45</f>
        <v>21508.384215947266</v>
      </c>
      <c r="Q63" s="80">
        <f>Q64*DCF!Q45</f>
        <v>22282.694237758078</v>
      </c>
      <c r="R63" s="80">
        <f>R64*DCF!R45</f>
        <v>22966.177920299109</v>
      </c>
      <c r="S63" s="80">
        <f>S64*DCF!S45</f>
        <v>23548.112640393374</v>
      </c>
      <c r="T63" s="81">
        <f>T64*DCF!T45</f>
        <v>24019.074893201243</v>
      </c>
    </row>
    <row r="64" spans="1:20" x14ac:dyDescent="0.2">
      <c r="B64" s="82" t="s">
        <v>188</v>
      </c>
      <c r="C64" s="83"/>
      <c r="D64" s="83"/>
      <c r="E64" s="84">
        <f>E63/DCF!E45</f>
        <v>6.3840482573726542E-2</v>
      </c>
      <c r="F64" s="84">
        <f>F63/DCF!F45</f>
        <v>5.1690264588107E-2</v>
      </c>
      <c r="G64" s="84">
        <f>G63/DCF!G45</f>
        <v>6.0530731723566468E-2</v>
      </c>
      <c r="H64" s="84">
        <f>H63/DCF!H45</f>
        <v>6.5120468179447055E-2</v>
      </c>
      <c r="I64" s="84">
        <f>I63/DCF!I45</f>
        <v>5.480629101416068E-2</v>
      </c>
      <c r="J64" s="84">
        <f>J63/DCF!J45</f>
        <v>4.942132085515711E-2</v>
      </c>
      <c r="K64" s="84">
        <f>K63/DCF!K45</f>
        <v>5.2990480628867888E-2</v>
      </c>
      <c r="L64" s="84">
        <f>L63/DCF!L45</f>
        <v>5.5658153579683296E-2</v>
      </c>
      <c r="M64" s="84">
        <f>M63/DCF!M45</f>
        <v>5.4277934143383444E-2</v>
      </c>
      <c r="N64" s="84">
        <f>N63/DCF!N45</f>
        <v>6.0103451345987602E-2</v>
      </c>
      <c r="O64" s="85">
        <f>AVERAGE(L64:N64)</f>
        <v>5.6679846356351447E-2</v>
      </c>
      <c r="P64" s="85">
        <f>O64</f>
        <v>5.6679846356351447E-2</v>
      </c>
      <c r="Q64" s="85">
        <f t="shared" ref="Q64:S64" si="88">P64</f>
        <v>5.6679846356351447E-2</v>
      </c>
      <c r="R64" s="85">
        <f t="shared" si="88"/>
        <v>5.6679846356351447E-2</v>
      </c>
      <c r="S64" s="85">
        <f t="shared" si="88"/>
        <v>5.6679846356351447E-2</v>
      </c>
      <c r="T64" s="86">
        <f t="shared" ref="T64" si="89">S64</f>
        <v>5.6679846356351447E-2</v>
      </c>
    </row>
  </sheetData>
  <pageMargins left="0.7" right="0.7" top="0.75" bottom="0.75" header="0.3" footer="0.3"/>
  <pageSetup paperSize="9" scale="38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61BC-0A0E-294F-8E99-76E621FFD3EC}">
  <dimension ref="A1:R76"/>
  <sheetViews>
    <sheetView showGridLines="0" topLeftCell="A14" workbookViewId="0">
      <selection activeCell="M41" sqref="M41"/>
    </sheetView>
  </sheetViews>
  <sheetFormatPr baseColWidth="10" defaultRowHeight="15" x14ac:dyDescent="0.2"/>
  <cols>
    <col min="1" max="1" width="2" customWidth="1"/>
    <col min="2" max="2" width="90.1640625" style="4" customWidth="1"/>
    <col min="3" max="12" width="13.33203125" customWidth="1"/>
  </cols>
  <sheetData>
    <row r="1" spans="1:18" x14ac:dyDescent="0.2">
      <c r="B1" s="1" t="s">
        <v>0</v>
      </c>
    </row>
    <row r="2" spans="1:18" x14ac:dyDescent="0.2">
      <c r="B2" s="2"/>
    </row>
    <row r="3" spans="1:18" x14ac:dyDescent="0.2">
      <c r="B3" s="3"/>
    </row>
    <row r="5" spans="1:18" x14ac:dyDescent="0.2">
      <c r="B5" s="5" t="s">
        <v>1</v>
      </c>
      <c r="C5" s="21">
        <v>42735</v>
      </c>
      <c r="D5" s="21">
        <f>C5+365</f>
        <v>43100</v>
      </c>
      <c r="E5" s="21">
        <f t="shared" ref="E5:L5" si="0">D5+365</f>
        <v>43465</v>
      </c>
      <c r="F5" s="21">
        <f t="shared" si="0"/>
        <v>43830</v>
      </c>
      <c r="G5" s="21">
        <f>F5+366</f>
        <v>44196</v>
      </c>
      <c r="H5" s="21">
        <f t="shared" si="0"/>
        <v>44561</v>
      </c>
      <c r="I5" s="21">
        <f t="shared" si="0"/>
        <v>44926</v>
      </c>
      <c r="J5" s="21">
        <f t="shared" si="0"/>
        <v>45291</v>
      </c>
      <c r="K5" s="21">
        <f>J5+366</f>
        <v>45657</v>
      </c>
      <c r="L5" s="21">
        <f t="shared" si="0"/>
        <v>46022</v>
      </c>
      <c r="M5" s="21"/>
    </row>
    <row r="6" spans="1:18" x14ac:dyDescent="0.2">
      <c r="B6" s="5" t="s">
        <v>2</v>
      </c>
    </row>
    <row r="7" spans="1:18" x14ac:dyDescent="0.2">
      <c r="B7" s="5"/>
    </row>
    <row r="8" spans="1:18" x14ac:dyDescent="0.2">
      <c r="B8" s="5"/>
    </row>
    <row r="9" spans="1:18" s="24" customFormat="1" x14ac:dyDescent="0.2">
      <c r="B9" s="6" t="s">
        <v>3</v>
      </c>
      <c r="C9" s="25">
        <v>223604</v>
      </c>
      <c r="D9" s="25">
        <v>242137</v>
      </c>
      <c r="E9" s="25">
        <v>247837</v>
      </c>
      <c r="F9" s="25">
        <v>254616</v>
      </c>
      <c r="G9" s="25">
        <v>245510</v>
      </c>
      <c r="H9" s="25">
        <v>276094</v>
      </c>
      <c r="I9" s="25">
        <v>302089</v>
      </c>
      <c r="J9" s="25">
        <v>364482</v>
      </c>
      <c r="K9" s="25">
        <v>371433</v>
      </c>
      <c r="L9" s="25">
        <v>371444</v>
      </c>
    </row>
    <row r="10" spans="1:18" s="24" customFormat="1" x14ac:dyDescent="0.2">
      <c r="B10" s="7" t="s">
        <v>4</v>
      </c>
      <c r="C10" s="25">
        <v>175223</v>
      </c>
      <c r="D10" s="25">
        <v>192906</v>
      </c>
      <c r="E10" s="25">
        <v>204164</v>
      </c>
      <c r="F10" s="25">
        <v>211163</v>
      </c>
      <c r="G10" s="25">
        <v>203746</v>
      </c>
      <c r="H10" s="25">
        <v>227974</v>
      </c>
      <c r="I10" s="25">
        <v>249940</v>
      </c>
      <c r="J10" s="25">
        <v>314731</v>
      </c>
      <c r="K10" s="25">
        <v>321643</v>
      </c>
      <c r="L10" s="25">
        <v>321721</v>
      </c>
    </row>
    <row r="11" spans="1:18" x14ac:dyDescent="0.2">
      <c r="B11" s="8" t="s">
        <v>5</v>
      </c>
      <c r="C11" s="23">
        <v>45881</v>
      </c>
      <c r="D11" s="23">
        <v>60597</v>
      </c>
      <c r="E11" s="23">
        <v>57418</v>
      </c>
      <c r="F11" s="23">
        <v>61078</v>
      </c>
      <c r="G11" s="23">
        <v>63401</v>
      </c>
      <c r="H11" s="23">
        <v>69478</v>
      </c>
      <c r="I11" s="23">
        <v>74645</v>
      </c>
      <c r="J11" s="23">
        <v>83403</v>
      </c>
      <c r="K11" s="23">
        <v>88257</v>
      </c>
      <c r="L11" s="23">
        <v>88902</v>
      </c>
      <c r="M11" s="23">
        <f>L11*(1+M12)</f>
        <v>94618.511986111858</v>
      </c>
      <c r="N11" s="23">
        <f t="shared" ref="N11:R11" si="1">M11*(1+N12)</f>
        <v>100464.45789796684</v>
      </c>
      <c r="O11" s="23">
        <f t="shared" si="1"/>
        <v>106671.59194190058</v>
      </c>
      <c r="P11" s="23">
        <f t="shared" si="1"/>
        <v>113262.22990200028</v>
      </c>
      <c r="Q11" s="23">
        <f t="shared" si="1"/>
        <v>120260.06632919294</v>
      </c>
      <c r="R11" s="23">
        <f t="shared" si="1"/>
        <v>127690.25972749693</v>
      </c>
    </row>
    <row r="12" spans="1:18" s="39" customFormat="1" x14ac:dyDescent="0.2">
      <c r="A12" s="39" t="s">
        <v>126</v>
      </c>
      <c r="B12" s="91" t="s">
        <v>135</v>
      </c>
      <c r="C12" s="92"/>
      <c r="D12" s="87">
        <f>D11/C11-1</f>
        <v>0.32074279113358473</v>
      </c>
      <c r="E12" s="87">
        <f t="shared" ref="E12:L12" si="2">E11/D11-1</f>
        <v>-5.2461342970774094E-2</v>
      </c>
      <c r="F12" s="87">
        <f t="shared" si="2"/>
        <v>6.3743077083841415E-2</v>
      </c>
      <c r="G12" s="87">
        <f t="shared" si="2"/>
        <v>3.8033334424833809E-2</v>
      </c>
      <c r="H12" s="87">
        <f t="shared" si="2"/>
        <v>9.5850223182599725E-2</v>
      </c>
      <c r="I12" s="87">
        <f t="shared" si="2"/>
        <v>7.4368864964449166E-2</v>
      </c>
      <c r="J12" s="87">
        <f t="shared" si="2"/>
        <v>0.11732868912854166</v>
      </c>
      <c r="K12" s="87">
        <f t="shared" si="2"/>
        <v>5.8199345347289766E-2</v>
      </c>
      <c r="L12" s="87">
        <f t="shared" si="2"/>
        <v>7.3082021822632459E-3</v>
      </c>
      <c r="M12" s="42">
        <f>AVERAGE(I12:L12)</f>
        <v>6.430127540563596E-2</v>
      </c>
      <c r="N12" s="42">
        <f>AVERAGE(J12:M12)</f>
        <v>6.1784378015932659E-2</v>
      </c>
      <c r="O12" s="42">
        <f t="shared" ref="O12:R12" si="3">N12</f>
        <v>6.1784378015932659E-2</v>
      </c>
      <c r="P12" s="42">
        <f t="shared" si="3"/>
        <v>6.1784378015932659E-2</v>
      </c>
      <c r="Q12" s="42">
        <f t="shared" si="3"/>
        <v>6.1784378015932659E-2</v>
      </c>
      <c r="R12" s="42">
        <f t="shared" si="3"/>
        <v>6.1784378015932659E-2</v>
      </c>
    </row>
    <row r="13" spans="1:18" x14ac:dyDescent="0.2">
      <c r="B13" s="9" t="s">
        <v>6</v>
      </c>
      <c r="C13" s="23">
        <v>119489</v>
      </c>
      <c r="D13" s="23">
        <v>125963</v>
      </c>
      <c r="E13" s="23">
        <v>133336</v>
      </c>
      <c r="F13" s="23">
        <v>134989</v>
      </c>
      <c r="G13" s="23">
        <v>127044</v>
      </c>
      <c r="H13" s="23">
        <v>145043</v>
      </c>
      <c r="I13" s="23">
        <v>157518</v>
      </c>
      <c r="J13" s="23">
        <v>207148</v>
      </c>
      <c r="K13" s="23">
        <v>202334</v>
      </c>
      <c r="L13" s="23">
        <v>199524</v>
      </c>
    </row>
    <row r="14" spans="1:18" x14ac:dyDescent="0.2">
      <c r="B14" s="8" t="s">
        <v>7</v>
      </c>
      <c r="C14" s="23" t="s">
        <v>55</v>
      </c>
      <c r="D14" s="23" t="s">
        <v>55</v>
      </c>
      <c r="E14" s="23">
        <v>5732</v>
      </c>
      <c r="F14" s="23">
        <v>5856</v>
      </c>
      <c r="G14" s="23">
        <v>5209</v>
      </c>
      <c r="H14" s="23">
        <v>5988</v>
      </c>
      <c r="I14" s="23">
        <v>7514</v>
      </c>
      <c r="J14" s="23">
        <v>8416</v>
      </c>
      <c r="K14" s="23">
        <v>9227</v>
      </c>
      <c r="L14" s="23">
        <v>10034</v>
      </c>
    </row>
    <row r="15" spans="1:18" x14ac:dyDescent="0.2">
      <c r="B15" s="9" t="s">
        <v>8</v>
      </c>
      <c r="C15" s="23">
        <v>4725</v>
      </c>
      <c r="D15" s="23">
        <v>5144</v>
      </c>
      <c r="E15" s="23">
        <v>7678</v>
      </c>
      <c r="F15" s="23">
        <v>9240</v>
      </c>
      <c r="G15" s="23">
        <v>8092</v>
      </c>
      <c r="H15" s="23">
        <v>7465</v>
      </c>
      <c r="I15" s="23">
        <v>10263</v>
      </c>
      <c r="J15" s="23">
        <v>15764</v>
      </c>
      <c r="K15" s="23">
        <v>21825</v>
      </c>
      <c r="L15" s="23">
        <v>23261</v>
      </c>
    </row>
    <row r="16" spans="1:18" s="24" customFormat="1" x14ac:dyDescent="0.2">
      <c r="B16" s="62" t="s">
        <v>163</v>
      </c>
      <c r="C16" s="63">
        <f t="shared" ref="C16:K16" si="4">C10-C15-C18</f>
        <v>165370</v>
      </c>
      <c r="D16" s="63">
        <f t="shared" si="4"/>
        <v>186560</v>
      </c>
      <c r="E16" s="63">
        <f t="shared" si="4"/>
        <v>196486</v>
      </c>
      <c r="F16" s="63">
        <f t="shared" si="4"/>
        <v>201923</v>
      </c>
      <c r="G16" s="63">
        <f t="shared" si="4"/>
        <v>195654</v>
      </c>
      <c r="H16" s="63">
        <f t="shared" si="4"/>
        <v>220509</v>
      </c>
      <c r="I16" s="63">
        <f t="shared" si="4"/>
        <v>239677</v>
      </c>
      <c r="J16" s="63">
        <f t="shared" si="4"/>
        <v>298967</v>
      </c>
      <c r="K16" s="63">
        <f t="shared" si="4"/>
        <v>299818</v>
      </c>
      <c r="L16" s="63">
        <f>L10-L15-L18</f>
        <v>298460</v>
      </c>
    </row>
    <row r="17" spans="2:14" s="24" customFormat="1" x14ac:dyDescent="0.2">
      <c r="B17" s="64" t="s">
        <v>203</v>
      </c>
      <c r="C17" s="65">
        <f>C18+C32</f>
        <v>5128</v>
      </c>
      <c r="D17" s="65">
        <f t="shared" ref="D17:L17" si="5">D18+D32</f>
        <v>1202</v>
      </c>
      <c r="E17" s="65">
        <f t="shared" si="5"/>
        <v>-22455</v>
      </c>
      <c r="F17" s="65">
        <f t="shared" si="5"/>
        <v>72607</v>
      </c>
      <c r="G17" s="65">
        <f t="shared" si="5"/>
        <v>40746</v>
      </c>
      <c r="H17" s="65">
        <f t="shared" si="5"/>
        <v>78542</v>
      </c>
      <c r="I17" s="65">
        <f t="shared" si="5"/>
        <v>-67899</v>
      </c>
      <c r="J17" s="65">
        <f t="shared" si="5"/>
        <v>74855</v>
      </c>
      <c r="K17" s="65">
        <f t="shared" si="5"/>
        <v>52799</v>
      </c>
      <c r="L17" s="65">
        <f t="shared" si="5"/>
        <v>39078</v>
      </c>
    </row>
    <row r="18" spans="2:14" x14ac:dyDescent="0.2">
      <c r="B18" s="10" t="s">
        <v>9</v>
      </c>
      <c r="C18" s="23">
        <v>5128</v>
      </c>
      <c r="D18" s="23">
        <v>1202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</row>
    <row r="19" spans="2:14" x14ac:dyDescent="0.2">
      <c r="B19" s="11" t="s">
        <v>10</v>
      </c>
      <c r="C19" s="23" t="s">
        <v>55</v>
      </c>
      <c r="D19" s="23" t="s">
        <v>55</v>
      </c>
      <c r="E19" s="23" t="s">
        <v>55</v>
      </c>
      <c r="F19" s="23" t="s">
        <v>55</v>
      </c>
      <c r="G19" s="23" t="s">
        <v>55</v>
      </c>
      <c r="H19" s="23" t="s">
        <v>55</v>
      </c>
      <c r="I19" s="23" t="s">
        <v>55</v>
      </c>
      <c r="J19" s="23" t="s">
        <v>55</v>
      </c>
      <c r="K19" s="23" t="s">
        <v>55</v>
      </c>
      <c r="L19" s="23" t="s">
        <v>55</v>
      </c>
    </row>
    <row r="20" spans="2:14" x14ac:dyDescent="0.2">
      <c r="B20" s="12" t="s">
        <v>11</v>
      </c>
      <c r="C20" s="23" t="s">
        <v>55</v>
      </c>
      <c r="D20" s="23" t="s">
        <v>55</v>
      </c>
      <c r="E20" s="23" t="s">
        <v>55</v>
      </c>
      <c r="F20" s="23" t="s">
        <v>55</v>
      </c>
      <c r="G20" s="23" t="s">
        <v>55</v>
      </c>
      <c r="H20" s="23" t="s">
        <v>55</v>
      </c>
      <c r="I20" s="23" t="s">
        <v>55</v>
      </c>
      <c r="J20" s="23" t="s">
        <v>55</v>
      </c>
      <c r="K20" s="23" t="s">
        <v>55</v>
      </c>
      <c r="L20" s="23" t="s">
        <v>55</v>
      </c>
    </row>
    <row r="21" spans="2:14" s="24" customFormat="1" x14ac:dyDescent="0.2">
      <c r="B21" s="7" t="s">
        <v>12</v>
      </c>
      <c r="C21" s="25">
        <v>10839</v>
      </c>
      <c r="D21" s="25">
        <v>9288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</row>
    <row r="22" spans="2:14" x14ac:dyDescent="0.2">
      <c r="B22" s="8" t="s">
        <v>13</v>
      </c>
      <c r="C22" s="23">
        <v>6208</v>
      </c>
      <c r="D22" s="23">
        <v>6924</v>
      </c>
      <c r="E22" s="23" t="s">
        <v>55</v>
      </c>
      <c r="F22" s="23" t="s">
        <v>55</v>
      </c>
      <c r="G22" s="23" t="s">
        <v>55</v>
      </c>
      <c r="H22" s="23" t="s">
        <v>55</v>
      </c>
      <c r="I22" s="23" t="s">
        <v>55</v>
      </c>
      <c r="J22" s="23" t="s">
        <v>55</v>
      </c>
      <c r="K22" s="23" t="s">
        <v>55</v>
      </c>
      <c r="L22" s="23" t="s">
        <v>55</v>
      </c>
      <c r="M22" s="23" t="s">
        <v>243</v>
      </c>
      <c r="N22" s="22">
        <f>L57-L51+CFS!L15</f>
        <v>109265</v>
      </c>
    </row>
    <row r="23" spans="2:14" x14ac:dyDescent="0.2">
      <c r="B23" s="9" t="s">
        <v>14</v>
      </c>
      <c r="C23" s="23">
        <v>1455</v>
      </c>
      <c r="D23" s="23">
        <v>1438</v>
      </c>
      <c r="E23" s="23" t="s">
        <v>55</v>
      </c>
      <c r="F23" s="23" t="s">
        <v>55</v>
      </c>
      <c r="G23" s="23" t="s">
        <v>55</v>
      </c>
      <c r="H23" s="23" t="s">
        <v>55</v>
      </c>
      <c r="I23" s="23" t="s">
        <v>55</v>
      </c>
      <c r="J23" s="23" t="s">
        <v>55</v>
      </c>
      <c r="K23" s="23" t="s">
        <v>55</v>
      </c>
      <c r="L23" s="23" t="s">
        <v>55</v>
      </c>
    </row>
    <row r="24" spans="2:14" x14ac:dyDescent="0.2">
      <c r="B24" s="8" t="s">
        <v>9</v>
      </c>
      <c r="C24" s="23">
        <v>2425</v>
      </c>
      <c r="D24" s="23">
        <v>208</v>
      </c>
      <c r="E24" s="23" t="s">
        <v>55</v>
      </c>
      <c r="F24" s="23" t="s">
        <v>55</v>
      </c>
      <c r="G24" s="23" t="s">
        <v>55</v>
      </c>
      <c r="H24" s="23" t="s">
        <v>55</v>
      </c>
      <c r="I24" s="23" t="s">
        <v>55</v>
      </c>
      <c r="J24" s="23" t="s">
        <v>55</v>
      </c>
      <c r="K24" s="23" t="s">
        <v>55</v>
      </c>
      <c r="L24" s="23" t="s">
        <v>55</v>
      </c>
    </row>
    <row r="25" spans="2:14" x14ac:dyDescent="0.2">
      <c r="B25" s="9" t="s">
        <v>15</v>
      </c>
      <c r="C25" s="23">
        <v>751</v>
      </c>
      <c r="D25" s="23">
        <v>718</v>
      </c>
      <c r="E25" s="23" t="s">
        <v>55</v>
      </c>
      <c r="F25" s="23" t="s">
        <v>55</v>
      </c>
      <c r="G25" s="23" t="s">
        <v>55</v>
      </c>
      <c r="H25" s="23" t="s">
        <v>55</v>
      </c>
      <c r="I25" s="23" t="s">
        <v>55</v>
      </c>
      <c r="J25" s="23" t="s">
        <v>55</v>
      </c>
      <c r="K25" s="23" t="s">
        <v>55</v>
      </c>
      <c r="L25" s="23" t="s">
        <v>55</v>
      </c>
    </row>
    <row r="26" spans="2:14" x14ac:dyDescent="0.2">
      <c r="B26" s="8" t="s">
        <v>16</v>
      </c>
      <c r="C26" s="23" t="s">
        <v>55</v>
      </c>
      <c r="D26" s="23" t="s">
        <v>55</v>
      </c>
      <c r="E26" s="23" t="s">
        <v>55</v>
      </c>
      <c r="F26" s="23" t="s">
        <v>55</v>
      </c>
      <c r="G26" s="23" t="s">
        <v>55</v>
      </c>
      <c r="H26" s="23" t="s">
        <v>55</v>
      </c>
      <c r="I26" s="23" t="s">
        <v>55</v>
      </c>
      <c r="J26" s="23" t="s">
        <v>55</v>
      </c>
      <c r="K26" s="23" t="s">
        <v>55</v>
      </c>
      <c r="L26" s="23" t="s">
        <v>55</v>
      </c>
    </row>
    <row r="27" spans="2:14" s="24" customFormat="1" x14ac:dyDescent="0.2">
      <c r="B27" s="7" t="s">
        <v>17</v>
      </c>
      <c r="C27" s="25">
        <v>37542</v>
      </c>
      <c r="D27" s="25">
        <v>39943</v>
      </c>
      <c r="E27" s="25">
        <v>43673</v>
      </c>
      <c r="F27" s="25">
        <v>43453</v>
      </c>
      <c r="G27" s="25">
        <v>41764</v>
      </c>
      <c r="H27" s="25">
        <v>48120</v>
      </c>
      <c r="I27" s="25">
        <v>52149</v>
      </c>
      <c r="J27" s="25">
        <v>49751</v>
      </c>
      <c r="K27" s="25">
        <v>49790</v>
      </c>
      <c r="L27" s="24">
        <v>49723</v>
      </c>
    </row>
    <row r="28" spans="2:14" x14ac:dyDescent="0.2">
      <c r="B28" s="8" t="s">
        <v>18</v>
      </c>
      <c r="C28" s="23" t="s">
        <v>55</v>
      </c>
      <c r="D28" s="23" t="s">
        <v>55</v>
      </c>
      <c r="E28" s="23">
        <v>23703</v>
      </c>
      <c r="F28" s="23">
        <v>23357</v>
      </c>
      <c r="G28" s="23">
        <v>20750</v>
      </c>
      <c r="H28" s="23">
        <v>23177</v>
      </c>
      <c r="I28" s="23">
        <v>25802</v>
      </c>
      <c r="J28" s="23">
        <v>23791</v>
      </c>
      <c r="K28" s="23">
        <v>23355</v>
      </c>
      <c r="L28" s="23">
        <v>23330</v>
      </c>
    </row>
    <row r="29" spans="2:14" x14ac:dyDescent="0.2">
      <c r="B29" s="9" t="s">
        <v>19</v>
      </c>
      <c r="C29" s="23" t="s">
        <v>55</v>
      </c>
      <c r="D29" s="23" t="s">
        <v>55</v>
      </c>
      <c r="E29" s="23">
        <v>15555</v>
      </c>
      <c r="F29" s="23">
        <v>15353</v>
      </c>
      <c r="G29" s="23">
        <v>15540</v>
      </c>
      <c r="H29" s="23">
        <v>18891</v>
      </c>
      <c r="I29" s="23">
        <v>21023</v>
      </c>
      <c r="J29" s="23">
        <v>21232</v>
      </c>
      <c r="K29" s="23">
        <v>21518</v>
      </c>
      <c r="L29" s="23">
        <v>21856</v>
      </c>
      <c r="N29" s="22">
        <f>L27+L16+L17</f>
        <v>387261</v>
      </c>
    </row>
    <row r="30" spans="2:14" x14ac:dyDescent="0.2">
      <c r="B30" s="8" t="s">
        <v>20</v>
      </c>
      <c r="C30" s="23" t="s">
        <v>55</v>
      </c>
      <c r="D30" s="23" t="s">
        <v>55</v>
      </c>
      <c r="E30" s="23">
        <v>4415</v>
      </c>
      <c r="F30" s="23">
        <v>4743</v>
      </c>
      <c r="G30" s="23">
        <v>5474</v>
      </c>
      <c r="H30" s="23">
        <v>6052</v>
      </c>
      <c r="I30" s="23">
        <v>5324</v>
      </c>
      <c r="J30" s="23">
        <v>4728</v>
      </c>
      <c r="K30" s="23">
        <v>4917</v>
      </c>
      <c r="L30" s="23">
        <v>4537</v>
      </c>
      <c r="N30" s="22">
        <f>N29+L35</f>
        <v>68788</v>
      </c>
    </row>
    <row r="31" spans="2:14" x14ac:dyDescent="0.2">
      <c r="B31" s="9" t="s">
        <v>16</v>
      </c>
      <c r="C31" s="23" t="s">
        <v>55</v>
      </c>
      <c r="D31" s="23" t="s">
        <v>55</v>
      </c>
      <c r="E31" s="23" t="s">
        <v>55</v>
      </c>
      <c r="F31" s="23" t="s">
        <v>55</v>
      </c>
      <c r="G31" s="23" t="s">
        <v>55</v>
      </c>
      <c r="H31" s="23" t="s">
        <v>55</v>
      </c>
      <c r="I31" s="23" t="s">
        <v>55</v>
      </c>
      <c r="J31" s="23" t="s">
        <v>55</v>
      </c>
      <c r="K31" s="23" t="s">
        <v>55</v>
      </c>
      <c r="L31" s="23" t="s">
        <v>55</v>
      </c>
    </row>
    <row r="32" spans="2:14" s="24" customFormat="1" x14ac:dyDescent="0.2">
      <c r="B32" s="6" t="s">
        <v>21</v>
      </c>
      <c r="C32" s="25">
        <v>0</v>
      </c>
      <c r="D32" s="25">
        <v>0</v>
      </c>
      <c r="E32" s="25">
        <v>-22455</v>
      </c>
      <c r="F32" s="25">
        <v>72607</v>
      </c>
      <c r="G32" s="25">
        <v>40746</v>
      </c>
      <c r="H32" s="25">
        <v>78542</v>
      </c>
      <c r="I32" s="25">
        <v>-67899</v>
      </c>
      <c r="J32" s="25">
        <v>74855</v>
      </c>
      <c r="K32" s="25">
        <v>52799</v>
      </c>
      <c r="L32" s="26">
        <v>39078</v>
      </c>
    </row>
    <row r="33" spans="2:14" x14ac:dyDescent="0.2">
      <c r="B33" s="13" t="s">
        <v>22</v>
      </c>
      <c r="C33" s="23" t="s">
        <v>55</v>
      </c>
      <c r="D33" s="23" t="s">
        <v>55</v>
      </c>
      <c r="E33" s="23">
        <v>-22155</v>
      </c>
      <c r="F33" s="23">
        <v>71123</v>
      </c>
      <c r="G33" s="23" t="s">
        <v>55</v>
      </c>
      <c r="H33" s="23" t="s">
        <v>55</v>
      </c>
      <c r="I33" s="23" t="s">
        <v>55</v>
      </c>
      <c r="J33" s="23" t="s">
        <v>55</v>
      </c>
      <c r="K33" s="23" t="s">
        <v>55</v>
      </c>
      <c r="L33" s="23" t="s">
        <v>55</v>
      </c>
    </row>
    <row r="34" spans="2:14" x14ac:dyDescent="0.2">
      <c r="B34" s="14" t="s">
        <v>23</v>
      </c>
      <c r="C34" s="23" t="s">
        <v>55</v>
      </c>
      <c r="D34" s="23" t="s">
        <v>55</v>
      </c>
      <c r="E34" s="23">
        <v>-300</v>
      </c>
      <c r="F34" s="23">
        <v>1484</v>
      </c>
      <c r="G34" s="23" t="s">
        <v>55</v>
      </c>
      <c r="H34" s="23" t="s">
        <v>55</v>
      </c>
      <c r="I34" s="23" t="s">
        <v>55</v>
      </c>
      <c r="J34" s="23" t="s">
        <v>55</v>
      </c>
      <c r="K34" s="23" t="s">
        <v>55</v>
      </c>
      <c r="L34" s="23" t="s">
        <v>55</v>
      </c>
    </row>
    <row r="35" spans="2:14" s="24" customFormat="1" x14ac:dyDescent="0.2">
      <c r="B35" s="15" t="s">
        <v>24</v>
      </c>
      <c r="C35" s="25">
        <v>-190860</v>
      </c>
      <c r="D35" s="25">
        <v>-221237</v>
      </c>
      <c r="E35" s="25">
        <v>-219214</v>
      </c>
      <c r="F35" s="25">
        <v>-225703</v>
      </c>
      <c r="G35" s="25">
        <v>-231289</v>
      </c>
      <c r="H35" s="25">
        <v>-243945</v>
      </c>
      <c r="I35" s="25">
        <v>-266629</v>
      </c>
      <c r="J35" s="25">
        <v>-321144</v>
      </c>
      <c r="K35" s="25">
        <v>-315697</v>
      </c>
      <c r="L35" s="25">
        <v>-318473</v>
      </c>
    </row>
    <row r="36" spans="2:14" s="24" customFormat="1" x14ac:dyDescent="0.2">
      <c r="B36" s="16" t="s">
        <v>4</v>
      </c>
      <c r="C36" s="25">
        <v>-156427</v>
      </c>
      <c r="D36" s="25">
        <v>-183559</v>
      </c>
      <c r="E36" s="25">
        <v>-184815</v>
      </c>
      <c r="F36" s="25">
        <v>-192064</v>
      </c>
      <c r="G36" s="25">
        <v>-198757</v>
      </c>
      <c r="H36" s="25">
        <v>-206808</v>
      </c>
      <c r="I36" s="25">
        <v>-225302</v>
      </c>
      <c r="J36" s="25">
        <v>-278933</v>
      </c>
      <c r="K36" s="25">
        <v>-274799</v>
      </c>
      <c r="L36" s="25">
        <v>-278253</v>
      </c>
    </row>
    <row r="37" spans="2:14" x14ac:dyDescent="0.2">
      <c r="B37" s="9" t="s">
        <v>25</v>
      </c>
      <c r="C37" s="23">
        <v>-30906</v>
      </c>
      <c r="D37" s="23">
        <v>-48891</v>
      </c>
      <c r="E37" s="23">
        <v>-39906</v>
      </c>
      <c r="F37" s="23">
        <v>-44456</v>
      </c>
      <c r="G37" s="23">
        <v>-43951</v>
      </c>
      <c r="H37" s="23">
        <v>-49964</v>
      </c>
      <c r="I37" s="23">
        <v>-57646</v>
      </c>
      <c r="J37" s="23">
        <v>-57187</v>
      </c>
      <c r="K37" s="25">
        <v>-56186</v>
      </c>
      <c r="L37" s="23">
        <v>-57307</v>
      </c>
    </row>
    <row r="38" spans="2:14" x14ac:dyDescent="0.2">
      <c r="B38" s="8" t="s">
        <v>26</v>
      </c>
      <c r="C38" s="23">
        <v>-5131</v>
      </c>
      <c r="D38" s="23">
        <v>-5618</v>
      </c>
      <c r="E38" s="23">
        <v>-5699</v>
      </c>
      <c r="F38" s="23">
        <v>-4986</v>
      </c>
      <c r="G38" s="23">
        <v>-5812</v>
      </c>
      <c r="H38" s="23">
        <v>-6007</v>
      </c>
      <c r="I38" s="23">
        <v>-5152</v>
      </c>
      <c r="J38" s="23">
        <v>-4029</v>
      </c>
      <c r="K38" s="25">
        <v>-3858</v>
      </c>
      <c r="L38" s="23">
        <v>-4379</v>
      </c>
    </row>
    <row r="39" spans="2:14" x14ac:dyDescent="0.2">
      <c r="B39" s="9" t="s">
        <v>27</v>
      </c>
      <c r="C39" s="23">
        <v>-7713</v>
      </c>
      <c r="D39" s="23">
        <v>-9321</v>
      </c>
      <c r="E39" s="23">
        <v>-9793</v>
      </c>
      <c r="F39" s="23">
        <v>-11200</v>
      </c>
      <c r="G39" s="23">
        <v>-12798</v>
      </c>
      <c r="H39" s="23">
        <v>-12569</v>
      </c>
      <c r="I39" s="23">
        <v>-11942</v>
      </c>
      <c r="J39" s="23">
        <v>-15270</v>
      </c>
      <c r="K39" s="25">
        <v>-16808</v>
      </c>
      <c r="L39" s="23">
        <v>-17756</v>
      </c>
    </row>
    <row r="40" spans="2:14" x14ac:dyDescent="0.2">
      <c r="B40" s="8" t="s">
        <v>28</v>
      </c>
      <c r="C40" s="23">
        <v>-95754</v>
      </c>
      <c r="D40" s="23">
        <v>-101748</v>
      </c>
      <c r="E40" s="23">
        <v>-106083</v>
      </c>
      <c r="F40" s="23">
        <v>-107041</v>
      </c>
      <c r="G40" s="23">
        <v>-101091</v>
      </c>
      <c r="H40" s="23">
        <v>-114138</v>
      </c>
      <c r="I40" s="23">
        <v>-124319</v>
      </c>
      <c r="J40" s="23">
        <v>-169281</v>
      </c>
      <c r="K40" s="25">
        <v>-163642</v>
      </c>
      <c r="L40" s="23">
        <v>-160062</v>
      </c>
    </row>
    <row r="41" spans="2:14" x14ac:dyDescent="0.2">
      <c r="B41" s="9" t="s">
        <v>29</v>
      </c>
      <c r="C41" s="23" t="s">
        <v>55</v>
      </c>
      <c r="D41" s="23" t="s">
        <v>55</v>
      </c>
      <c r="E41" s="23">
        <v>-4061</v>
      </c>
      <c r="F41" s="23">
        <v>-4003</v>
      </c>
      <c r="G41" s="23">
        <v>-3520</v>
      </c>
      <c r="H41" s="23">
        <v>-4201</v>
      </c>
      <c r="I41" s="23">
        <v>-5550</v>
      </c>
      <c r="J41" s="23">
        <v>-6037</v>
      </c>
      <c r="K41" s="25">
        <v>-7069</v>
      </c>
      <c r="L41" s="23">
        <v>-7685</v>
      </c>
      <c r="M41" s="22"/>
    </row>
    <row r="42" spans="2:14" s="24" customFormat="1" x14ac:dyDescent="0.2">
      <c r="B42" s="10" t="s">
        <v>30</v>
      </c>
      <c r="C42" s="25">
        <v>-16478</v>
      </c>
      <c r="D42" s="25">
        <v>-16241</v>
      </c>
      <c r="E42" s="25">
        <v>-18238</v>
      </c>
      <c r="F42" s="25">
        <v>-19322</v>
      </c>
      <c r="G42" s="25">
        <v>-30480</v>
      </c>
      <c r="H42" s="25">
        <v>-18843</v>
      </c>
      <c r="I42" s="25">
        <v>-19506</v>
      </c>
      <c r="J42" s="25">
        <v>-25458</v>
      </c>
      <c r="K42" s="25">
        <v>-25642</v>
      </c>
      <c r="L42" s="25">
        <v>-29735</v>
      </c>
    </row>
    <row r="43" spans="2:14" x14ac:dyDescent="0.2">
      <c r="B43" s="11" t="s">
        <v>30</v>
      </c>
      <c r="C43" s="23">
        <v>-16478</v>
      </c>
      <c r="D43" s="23">
        <v>-16241</v>
      </c>
      <c r="E43" s="23" t="s">
        <v>55</v>
      </c>
      <c r="F43" s="23" t="s">
        <v>55</v>
      </c>
      <c r="G43" s="23">
        <v>-19809</v>
      </c>
      <c r="H43" s="23">
        <v>-18843</v>
      </c>
      <c r="I43" s="23">
        <v>-19506</v>
      </c>
      <c r="J43" s="23">
        <v>-25458</v>
      </c>
      <c r="K43" s="25">
        <v>-25642</v>
      </c>
      <c r="L43" s="23">
        <v>-29735</v>
      </c>
    </row>
    <row r="44" spans="2:14" x14ac:dyDescent="0.2">
      <c r="B44" s="12" t="s">
        <v>31</v>
      </c>
      <c r="C44" s="23" t="s">
        <v>55</v>
      </c>
      <c r="D44" s="23" t="s">
        <v>55</v>
      </c>
      <c r="E44" s="23" t="s">
        <v>55</v>
      </c>
      <c r="F44" s="23" t="s">
        <v>55</v>
      </c>
      <c r="G44" s="23">
        <v>-10671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</row>
    <row r="45" spans="2:14" x14ac:dyDescent="0.2">
      <c r="B45" s="9" t="s">
        <v>32</v>
      </c>
      <c r="C45" s="23">
        <v>-445</v>
      </c>
      <c r="D45" s="23">
        <v>-1740</v>
      </c>
      <c r="E45" s="23">
        <v>-1035</v>
      </c>
      <c r="F45" s="23">
        <v>-1056</v>
      </c>
      <c r="G45" s="23">
        <v>-1105</v>
      </c>
      <c r="H45" s="23">
        <v>-1086</v>
      </c>
      <c r="I45" s="23">
        <v>-1187</v>
      </c>
      <c r="J45" s="23">
        <v>-1671</v>
      </c>
      <c r="K45" s="25">
        <v>-1594</v>
      </c>
      <c r="L45" s="23">
        <v>-1329</v>
      </c>
    </row>
    <row r="46" spans="2:14" s="24" customFormat="1" x14ac:dyDescent="0.2">
      <c r="B46" s="16" t="s">
        <v>33</v>
      </c>
      <c r="C46" s="25">
        <v>-28836</v>
      </c>
      <c r="D46" s="25">
        <v>-31288</v>
      </c>
      <c r="E46" s="25">
        <v>-34399</v>
      </c>
      <c r="F46" s="25">
        <v>-33639</v>
      </c>
      <c r="G46" s="25">
        <v>-32532</v>
      </c>
      <c r="H46" s="25">
        <v>-37137</v>
      </c>
      <c r="I46" s="25">
        <v>-41327</v>
      </c>
      <c r="J46" s="25">
        <v>-42211</v>
      </c>
      <c r="K46" s="26">
        <v>-40898</v>
      </c>
      <c r="L46" s="26">
        <v>-40220</v>
      </c>
      <c r="N46" s="26"/>
    </row>
    <row r="47" spans="2:14" s="24" customFormat="1" x14ac:dyDescent="0.2">
      <c r="B47" s="17" t="s">
        <v>34</v>
      </c>
      <c r="C47" s="25">
        <v>-26194</v>
      </c>
      <c r="D47" s="25">
        <v>-28034</v>
      </c>
      <c r="E47" s="25">
        <v>-31581</v>
      </c>
      <c r="F47" s="25">
        <v>-30734</v>
      </c>
      <c r="G47" s="25">
        <v>-29554</v>
      </c>
      <c r="H47" s="25">
        <v>-34051</v>
      </c>
      <c r="I47" s="25">
        <v>-38162</v>
      </c>
      <c r="J47" s="25">
        <f>SUM(J48:J50)</f>
        <v>-38879</v>
      </c>
      <c r="K47" s="25">
        <f>SUM(K48:K50)</f>
        <v>-37292</v>
      </c>
      <c r="L47" s="25">
        <f>SUM(L48:L50)</f>
        <v>-36480</v>
      </c>
    </row>
    <row r="48" spans="2:14" x14ac:dyDescent="0.2">
      <c r="B48" s="12" t="s">
        <v>35</v>
      </c>
      <c r="C48" s="23" t="s">
        <v>55</v>
      </c>
      <c r="D48" s="23" t="s">
        <v>55</v>
      </c>
      <c r="E48" s="23">
        <v>-16045</v>
      </c>
      <c r="F48" s="23">
        <v>-15436</v>
      </c>
      <c r="G48" s="23">
        <v>-13120</v>
      </c>
      <c r="H48" s="23">
        <v>-14477</v>
      </c>
      <c r="I48" s="23">
        <v>-17282</v>
      </c>
      <c r="J48" s="23">
        <v>-16464</v>
      </c>
      <c r="K48" s="23">
        <v>-15965</v>
      </c>
      <c r="L48" s="23">
        <v>-15366</v>
      </c>
    </row>
    <row r="49" spans="2:12" x14ac:dyDescent="0.2">
      <c r="B49" s="11" t="s">
        <v>36</v>
      </c>
      <c r="C49" s="23" t="s">
        <v>55</v>
      </c>
      <c r="D49" s="23" t="s">
        <v>55</v>
      </c>
      <c r="E49" s="23">
        <v>-11641</v>
      </c>
      <c r="F49" s="23">
        <v>-11296</v>
      </c>
      <c r="G49" s="23">
        <v>-11638</v>
      </c>
      <c r="H49" s="23">
        <v>-13959</v>
      </c>
      <c r="I49" s="23">
        <v>-15896</v>
      </c>
      <c r="J49" s="23">
        <v>-18399</v>
      </c>
      <c r="K49" s="23">
        <v>-16984</v>
      </c>
      <c r="L49" s="23">
        <v>-16959</v>
      </c>
    </row>
    <row r="50" spans="2:12" x14ac:dyDescent="0.2">
      <c r="B50" s="12" t="s">
        <v>37</v>
      </c>
      <c r="C50" s="23" t="s">
        <v>55</v>
      </c>
      <c r="D50" s="23" t="s">
        <v>55</v>
      </c>
      <c r="E50" s="23">
        <v>-3895</v>
      </c>
      <c r="F50" s="23">
        <v>-4002</v>
      </c>
      <c r="G50" s="23">
        <v>-4796</v>
      </c>
      <c r="H50" s="23">
        <v>-5615</v>
      </c>
      <c r="I50" s="23">
        <v>-4984</v>
      </c>
      <c r="J50" s="23">
        <v>-4016</v>
      </c>
      <c r="K50" s="23">
        <v>-4343</v>
      </c>
      <c r="L50" s="23">
        <v>-4155</v>
      </c>
    </row>
    <row r="51" spans="2:12" x14ac:dyDescent="0.2">
      <c r="B51" s="9" t="s">
        <v>38</v>
      </c>
      <c r="C51" s="23">
        <v>-2642</v>
      </c>
      <c r="D51" s="23">
        <v>-3254</v>
      </c>
      <c r="E51" s="23">
        <v>-2818</v>
      </c>
      <c r="F51" s="23">
        <v>-2905</v>
      </c>
      <c r="G51" s="23">
        <v>-2978</v>
      </c>
      <c r="H51" s="23">
        <v>-3086</v>
      </c>
      <c r="I51" s="23">
        <v>-3165</v>
      </c>
      <c r="J51" s="23">
        <v>-3332</v>
      </c>
      <c r="K51" s="23">
        <v>-3606</v>
      </c>
      <c r="L51" s="23">
        <v>-3740</v>
      </c>
    </row>
    <row r="52" spans="2:12" s="24" customFormat="1" x14ac:dyDescent="0.2">
      <c r="B52" s="16" t="s">
        <v>12</v>
      </c>
      <c r="C52" s="25">
        <v>-5597</v>
      </c>
      <c r="D52" s="25">
        <v>-6390</v>
      </c>
      <c r="E52" s="25" t="s">
        <v>55</v>
      </c>
      <c r="F52" s="25" t="s">
        <v>55</v>
      </c>
      <c r="G52" s="25" t="s">
        <v>55</v>
      </c>
      <c r="H52" s="25" t="s">
        <v>55</v>
      </c>
      <c r="I52" s="25" t="s">
        <v>55</v>
      </c>
      <c r="J52" s="25" t="s">
        <v>55</v>
      </c>
      <c r="K52" s="25" t="s">
        <v>55</v>
      </c>
      <c r="L52" s="25" t="s">
        <v>55</v>
      </c>
    </row>
    <row r="53" spans="2:12" x14ac:dyDescent="0.2">
      <c r="B53" s="9" t="s">
        <v>28</v>
      </c>
      <c r="C53" s="23">
        <v>-3448</v>
      </c>
      <c r="D53" s="23">
        <v>-4050</v>
      </c>
      <c r="E53" s="23" t="s">
        <v>55</v>
      </c>
      <c r="F53" s="23" t="s">
        <v>55</v>
      </c>
      <c r="G53" s="23" t="s">
        <v>55</v>
      </c>
      <c r="H53" s="23" t="s">
        <v>55</v>
      </c>
      <c r="I53" s="23" t="s">
        <v>55</v>
      </c>
      <c r="J53" s="23" t="s">
        <v>55</v>
      </c>
      <c r="K53" s="23" t="s">
        <v>55</v>
      </c>
      <c r="L53" s="23" t="s">
        <v>55</v>
      </c>
    </row>
    <row r="54" spans="2:12" x14ac:dyDescent="0.2">
      <c r="B54" s="8" t="s">
        <v>30</v>
      </c>
      <c r="C54" s="23">
        <v>-1739</v>
      </c>
      <c r="D54" s="23">
        <v>-1940</v>
      </c>
      <c r="E54" s="23" t="s">
        <v>55</v>
      </c>
      <c r="F54" s="23" t="s">
        <v>55</v>
      </c>
      <c r="G54" s="23" t="s">
        <v>55</v>
      </c>
      <c r="H54" s="23" t="s">
        <v>55</v>
      </c>
      <c r="I54" s="23" t="s">
        <v>55</v>
      </c>
      <c r="J54" s="23" t="s">
        <v>55</v>
      </c>
      <c r="K54" s="23" t="s">
        <v>55</v>
      </c>
      <c r="L54" s="23" t="s">
        <v>55</v>
      </c>
    </row>
    <row r="55" spans="2:12" x14ac:dyDescent="0.2">
      <c r="B55" s="9" t="s">
        <v>16</v>
      </c>
      <c r="C55" s="23" t="s">
        <v>55</v>
      </c>
      <c r="D55" s="23" t="s">
        <v>55</v>
      </c>
      <c r="E55" s="23" t="s">
        <v>55</v>
      </c>
      <c r="F55" s="23" t="s">
        <v>55</v>
      </c>
      <c r="G55" s="23" t="s">
        <v>55</v>
      </c>
      <c r="H55" s="23" t="s">
        <v>55</v>
      </c>
      <c r="I55" s="23" t="s">
        <v>55</v>
      </c>
      <c r="J55" s="23" t="s">
        <v>55</v>
      </c>
      <c r="K55" s="23" t="s">
        <v>55</v>
      </c>
      <c r="L55" s="23" t="s">
        <v>55</v>
      </c>
    </row>
    <row r="56" spans="2:12" x14ac:dyDescent="0.2">
      <c r="B56" s="8" t="s">
        <v>38</v>
      </c>
      <c r="C56" s="23">
        <v>-410</v>
      </c>
      <c r="D56" s="23">
        <v>-400</v>
      </c>
      <c r="E56" s="23" t="s">
        <v>55</v>
      </c>
      <c r="F56" s="23" t="s">
        <v>55</v>
      </c>
      <c r="G56" s="23" t="s">
        <v>55</v>
      </c>
      <c r="H56" s="23" t="s">
        <v>55</v>
      </c>
      <c r="I56" s="23" t="s">
        <v>55</v>
      </c>
      <c r="J56" s="23" t="s">
        <v>55</v>
      </c>
      <c r="K56" s="23" t="s">
        <v>55</v>
      </c>
      <c r="L56" s="23" t="s">
        <v>55</v>
      </c>
    </row>
    <row r="57" spans="2:12" x14ac:dyDescent="0.2">
      <c r="B57" s="18" t="s">
        <v>39</v>
      </c>
      <c r="C57" s="23">
        <v>32744</v>
      </c>
      <c r="D57" s="23">
        <v>20900</v>
      </c>
      <c r="E57" s="23">
        <v>6168</v>
      </c>
      <c r="F57" s="23">
        <v>101520</v>
      </c>
      <c r="G57" s="23">
        <v>54967</v>
      </c>
      <c r="H57" s="23">
        <f>H9+H32+H35</f>
        <v>110691</v>
      </c>
      <c r="I57" s="23">
        <f>I9+I32+I35</f>
        <v>-32439</v>
      </c>
      <c r="J57" s="23">
        <f>J9+J32+J35</f>
        <v>118193</v>
      </c>
      <c r="K57" s="23">
        <f>K9+K32+K35</f>
        <v>108535</v>
      </c>
      <c r="L57" s="23">
        <f>L9+L32+L35</f>
        <v>92049</v>
      </c>
    </row>
    <row r="58" spans="2:12" x14ac:dyDescent="0.2">
      <c r="B58" s="19" t="s">
        <v>40</v>
      </c>
      <c r="C58" s="23">
        <v>923</v>
      </c>
      <c r="D58" s="23">
        <v>2938</v>
      </c>
      <c r="E58" s="23">
        <v>-2167</v>
      </c>
      <c r="F58" s="23">
        <v>1176</v>
      </c>
      <c r="G58" s="23">
        <v>726</v>
      </c>
      <c r="H58" s="23">
        <v>995</v>
      </c>
      <c r="I58" s="23">
        <v>1863</v>
      </c>
      <c r="J58" s="23">
        <v>1973</v>
      </c>
      <c r="K58" s="23">
        <v>1841</v>
      </c>
      <c r="L58" s="23">
        <v>-9590</v>
      </c>
    </row>
    <row r="59" spans="2:12" x14ac:dyDescent="0.2">
      <c r="B59" s="18" t="s">
        <v>41</v>
      </c>
      <c r="C59" s="23">
        <v>33667</v>
      </c>
      <c r="D59" s="23">
        <v>23838</v>
      </c>
      <c r="E59" s="23">
        <v>4001</v>
      </c>
      <c r="F59" s="23">
        <v>102696</v>
      </c>
      <c r="G59" s="23">
        <v>55693</v>
      </c>
      <c r="H59" s="23">
        <v>111686</v>
      </c>
      <c r="I59" s="23">
        <v>-30576</v>
      </c>
      <c r="J59" s="23">
        <f>SUM(J57:J58)</f>
        <v>120166</v>
      </c>
      <c r="K59" s="23">
        <f>SUM(K57:K58)</f>
        <v>110376</v>
      </c>
      <c r="L59" s="23">
        <f>SUM(L57:L58)</f>
        <v>82459</v>
      </c>
    </row>
    <row r="60" spans="2:12" x14ac:dyDescent="0.2">
      <c r="B60" s="19" t="s">
        <v>42</v>
      </c>
      <c r="C60" s="23">
        <v>-9240</v>
      </c>
      <c r="D60" s="23">
        <v>21515</v>
      </c>
      <c r="E60" s="23">
        <v>321</v>
      </c>
      <c r="F60" s="23">
        <v>-20904</v>
      </c>
      <c r="G60" s="23">
        <v>-12440</v>
      </c>
      <c r="H60" s="23">
        <v>-20879</v>
      </c>
      <c r="I60" s="23">
        <v>8518</v>
      </c>
      <c r="J60" s="23">
        <v>-23019</v>
      </c>
      <c r="K60" s="23">
        <v>-20815</v>
      </c>
      <c r="L60" s="23">
        <v>-15199</v>
      </c>
    </row>
    <row r="61" spans="2:12" x14ac:dyDescent="0.2">
      <c r="B61" s="18" t="s">
        <v>43</v>
      </c>
      <c r="C61" s="23" t="s">
        <v>55</v>
      </c>
      <c r="D61" s="23" t="s">
        <v>55</v>
      </c>
      <c r="E61" s="23" t="s">
        <v>55</v>
      </c>
      <c r="F61" s="23" t="s">
        <v>55</v>
      </c>
      <c r="G61" s="23" t="s">
        <v>55</v>
      </c>
      <c r="H61" s="23" t="s">
        <v>55</v>
      </c>
      <c r="I61" s="23" t="s">
        <v>55</v>
      </c>
      <c r="J61" s="23" t="s">
        <v>55</v>
      </c>
      <c r="K61" s="23" t="s">
        <v>55</v>
      </c>
      <c r="L61" s="23" t="s">
        <v>55</v>
      </c>
    </row>
    <row r="62" spans="2:12" x14ac:dyDescent="0.2">
      <c r="B62" s="19" t="s">
        <v>44</v>
      </c>
      <c r="C62" s="23" t="s">
        <v>55</v>
      </c>
      <c r="D62" s="23" t="s">
        <v>55</v>
      </c>
      <c r="E62" s="23" t="s">
        <v>55</v>
      </c>
      <c r="F62" s="23" t="s">
        <v>55</v>
      </c>
      <c r="G62" s="23" t="s">
        <v>55</v>
      </c>
      <c r="H62" s="23" t="s">
        <v>55</v>
      </c>
      <c r="I62" s="23" t="s">
        <v>55</v>
      </c>
      <c r="J62" s="23" t="s">
        <v>55</v>
      </c>
      <c r="K62" s="23" t="s">
        <v>55</v>
      </c>
      <c r="L62" s="23" t="s">
        <v>55</v>
      </c>
    </row>
    <row r="63" spans="2:12" x14ac:dyDescent="0.2">
      <c r="B63" s="18" t="s">
        <v>45</v>
      </c>
      <c r="C63" s="23">
        <v>24427</v>
      </c>
      <c r="D63" s="23">
        <v>45353</v>
      </c>
      <c r="E63" s="23">
        <v>4322</v>
      </c>
      <c r="F63" s="23">
        <v>81792</v>
      </c>
      <c r="G63" s="23">
        <v>43253</v>
      </c>
      <c r="H63" s="23">
        <v>90807</v>
      </c>
      <c r="I63" s="23">
        <v>-22058</v>
      </c>
      <c r="J63" s="23">
        <f>SUM(J59:J60)</f>
        <v>97147</v>
      </c>
      <c r="K63" s="23">
        <f>SUM(K59:K60)</f>
        <v>89561</v>
      </c>
      <c r="L63" s="23">
        <f>SUM(L59:L60)</f>
        <v>67260</v>
      </c>
    </row>
    <row r="64" spans="2:12" x14ac:dyDescent="0.2">
      <c r="B64" s="19" t="s">
        <v>46</v>
      </c>
      <c r="C64" s="23">
        <v>-353</v>
      </c>
      <c r="D64" s="23">
        <v>-413</v>
      </c>
      <c r="E64" s="23">
        <v>-301</v>
      </c>
      <c r="F64" s="23">
        <v>-375</v>
      </c>
      <c r="G64" s="23">
        <v>-732</v>
      </c>
      <c r="H64" s="23">
        <v>-1012</v>
      </c>
      <c r="I64" s="23">
        <v>-761</v>
      </c>
      <c r="J64" s="23">
        <v>-924</v>
      </c>
      <c r="K64" s="23">
        <v>-566</v>
      </c>
      <c r="L64" s="23">
        <v>-292</v>
      </c>
    </row>
    <row r="65" spans="2:13" x14ac:dyDescent="0.2">
      <c r="B65" s="18" t="s">
        <v>47</v>
      </c>
      <c r="C65" s="23">
        <v>24074</v>
      </c>
      <c r="D65" s="23">
        <v>44940</v>
      </c>
      <c r="E65" s="23">
        <v>4021</v>
      </c>
      <c r="F65" s="23">
        <v>81417</v>
      </c>
      <c r="G65" s="23">
        <v>42521</v>
      </c>
      <c r="H65" s="23">
        <v>89795</v>
      </c>
      <c r="I65" s="23">
        <v>-22819</v>
      </c>
      <c r="J65" s="23">
        <f>SUM(J63:J64)</f>
        <v>96223</v>
      </c>
      <c r="K65" s="23">
        <f>SUM(K63:K64)</f>
        <v>88995</v>
      </c>
      <c r="L65" s="23">
        <f>SUM(L63:L64)</f>
        <v>66968</v>
      </c>
    </row>
    <row r="66" spans="2:13" x14ac:dyDescent="0.2">
      <c r="B66" s="6" t="s">
        <v>48</v>
      </c>
      <c r="C66" s="23"/>
      <c r="D66" s="23"/>
      <c r="E66" s="23"/>
      <c r="F66" s="23"/>
      <c r="G66" s="23"/>
      <c r="H66" s="23"/>
      <c r="I66" s="23"/>
      <c r="J66" s="23"/>
    </row>
    <row r="67" spans="2:13" x14ac:dyDescent="0.2">
      <c r="B67" s="7" t="s">
        <v>49</v>
      </c>
      <c r="C67" s="23"/>
      <c r="D67" s="23"/>
      <c r="E67" s="23"/>
      <c r="F67" s="23"/>
      <c r="G67" s="23"/>
      <c r="H67" s="23"/>
      <c r="I67" s="23"/>
      <c r="J67" s="23"/>
    </row>
    <row r="68" spans="2:13" x14ac:dyDescent="0.2">
      <c r="B68" s="8" t="s">
        <v>50</v>
      </c>
      <c r="C68" s="23">
        <v>14645</v>
      </c>
      <c r="D68" s="23">
        <v>27326</v>
      </c>
      <c r="E68" s="23">
        <v>2446</v>
      </c>
      <c r="F68" s="23">
        <v>49828</v>
      </c>
      <c r="G68" s="23">
        <v>26668</v>
      </c>
      <c r="H68" s="23">
        <v>59460</v>
      </c>
      <c r="I68" s="23">
        <v>-15535</v>
      </c>
      <c r="J68" s="23">
        <v>66412</v>
      </c>
      <c r="K68" s="23">
        <v>61900</v>
      </c>
      <c r="L68" s="23">
        <v>45563</v>
      </c>
    </row>
    <row r="69" spans="2:13" x14ac:dyDescent="0.2">
      <c r="B69" s="7" t="s">
        <v>51</v>
      </c>
    </row>
    <row r="70" spans="2:13" x14ac:dyDescent="0.2">
      <c r="B70" s="8" t="s">
        <v>50</v>
      </c>
      <c r="C70">
        <v>9.76</v>
      </c>
      <c r="D70">
        <v>18.219999000000001</v>
      </c>
      <c r="E70">
        <v>1.63</v>
      </c>
      <c r="F70">
        <v>33.220001000000003</v>
      </c>
      <c r="G70">
        <v>17.780000999999999</v>
      </c>
      <c r="H70">
        <v>39.639999000000003</v>
      </c>
      <c r="I70">
        <v>-10.36</v>
      </c>
      <c r="J70">
        <v>44.27</v>
      </c>
      <c r="K70">
        <v>41.27</v>
      </c>
      <c r="L70">
        <v>31.04</v>
      </c>
    </row>
    <row r="71" spans="2:13" x14ac:dyDescent="0.2">
      <c r="B71" s="15" t="s">
        <v>52</v>
      </c>
    </row>
    <row r="72" spans="2:13" x14ac:dyDescent="0.2">
      <c r="B72" s="16" t="s">
        <v>49</v>
      </c>
    </row>
    <row r="73" spans="2:13" x14ac:dyDescent="0.2">
      <c r="B73" s="9" t="s">
        <v>53</v>
      </c>
      <c r="C73">
        <v>1.643826</v>
      </c>
      <c r="D73">
        <v>1.6446149999999999</v>
      </c>
      <c r="E73">
        <v>1.6437949999999999</v>
      </c>
      <c r="F73">
        <v>1.6339459999999999</v>
      </c>
      <c r="G73">
        <v>1.5944689999999999</v>
      </c>
      <c r="H73">
        <v>1.5101800000000001</v>
      </c>
      <c r="I73">
        <v>1.4688760000000001</v>
      </c>
      <c r="J73">
        <v>1.4488799999999999</v>
      </c>
      <c r="K73">
        <v>1.4377200000000001</v>
      </c>
      <c r="L73">
        <v>1.438223</v>
      </c>
      <c r="M73" s="129"/>
    </row>
    <row r="74" spans="2:13" x14ac:dyDescent="0.2">
      <c r="B74" s="16" t="s">
        <v>51</v>
      </c>
    </row>
    <row r="75" spans="2:13" x14ac:dyDescent="0.2">
      <c r="B75" s="9" t="s">
        <v>53</v>
      </c>
      <c r="C75" t="s">
        <v>55</v>
      </c>
      <c r="D75">
        <v>2466.9233399999998</v>
      </c>
      <c r="E75">
        <v>2465.6923830000001</v>
      </c>
      <c r="F75">
        <v>2450.9189449999999</v>
      </c>
      <c r="G75">
        <v>2391.7036130000001</v>
      </c>
      <c r="H75">
        <v>2265.2697750000002</v>
      </c>
      <c r="I75">
        <v>2203.313721</v>
      </c>
      <c r="J75">
        <v>2173.3197089999999</v>
      </c>
      <c r="K75">
        <v>2156.5802960000001</v>
      </c>
      <c r="L75">
        <v>2157.3351389999998</v>
      </c>
    </row>
    <row r="76" spans="2:13" x14ac:dyDescent="0.2">
      <c r="B76" s="20" t="s">
        <v>54</v>
      </c>
    </row>
  </sheetData>
  <pageMargins left="0.7" right="0.7" top="0.75" bottom="0.75" header="0.3" footer="0.3"/>
  <pageSetup paperSize="9" orientation="portrait" horizontalDpi="0" verticalDpi="0"/>
  <ignoredErrors>
    <ignoredError sqref="J47:L47" formulaRange="1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BCBA5-B68A-334A-87F4-6B475D451273}">
  <dimension ref="A1:M85"/>
  <sheetViews>
    <sheetView showGridLines="0" workbookViewId="0"/>
  </sheetViews>
  <sheetFormatPr baseColWidth="10" defaultRowHeight="15" x14ac:dyDescent="0.2"/>
  <cols>
    <col min="1" max="1" width="2" customWidth="1"/>
    <col min="2" max="2" width="97.33203125" style="4" customWidth="1"/>
  </cols>
  <sheetData>
    <row r="1" spans="2:12" x14ac:dyDescent="0.2">
      <c r="B1" s="1" t="s">
        <v>0</v>
      </c>
    </row>
    <row r="2" spans="2:12" x14ac:dyDescent="0.2">
      <c r="B2" s="2"/>
    </row>
    <row r="3" spans="2:12" x14ac:dyDescent="0.2">
      <c r="B3" s="3"/>
    </row>
    <row r="5" spans="2:12" x14ac:dyDescent="0.2">
      <c r="B5" s="5" t="s">
        <v>1</v>
      </c>
      <c r="C5" s="21">
        <v>42735</v>
      </c>
      <c r="D5" s="21">
        <f>C5+365</f>
        <v>43100</v>
      </c>
      <c r="E5" s="21">
        <f t="shared" ref="E5:L5" si="0">D5+365</f>
        <v>43465</v>
      </c>
      <c r="F5" s="21">
        <f t="shared" si="0"/>
        <v>43830</v>
      </c>
      <c r="G5" s="21">
        <f>F5+366</f>
        <v>44196</v>
      </c>
      <c r="H5" s="21">
        <f t="shared" si="0"/>
        <v>44561</v>
      </c>
      <c r="I5" s="21">
        <f t="shared" si="0"/>
        <v>44926</v>
      </c>
      <c r="J5" s="21">
        <f t="shared" si="0"/>
        <v>45291</v>
      </c>
      <c r="K5" s="21">
        <f>J5+366</f>
        <v>45657</v>
      </c>
      <c r="L5" s="21">
        <f t="shared" si="0"/>
        <v>46022</v>
      </c>
    </row>
    <row r="6" spans="2:12" x14ac:dyDescent="0.2">
      <c r="B6" s="5" t="s">
        <v>2</v>
      </c>
    </row>
    <row r="7" spans="2:12" x14ac:dyDescent="0.2">
      <c r="B7" s="5"/>
    </row>
    <row r="8" spans="2:12" x14ac:dyDescent="0.2">
      <c r="B8" s="5"/>
    </row>
    <row r="9" spans="2:12" s="24" customFormat="1" x14ac:dyDescent="0.2">
      <c r="B9" s="6" t="s">
        <v>56</v>
      </c>
      <c r="C9" s="25">
        <v>32535</v>
      </c>
      <c r="D9" s="25">
        <v>45776</v>
      </c>
      <c r="E9" s="25">
        <v>37400</v>
      </c>
      <c r="F9" s="25">
        <v>38687</v>
      </c>
      <c r="G9" s="25">
        <v>39773</v>
      </c>
      <c r="H9" s="25">
        <v>39421</v>
      </c>
      <c r="I9" s="25">
        <v>37224</v>
      </c>
      <c r="J9" s="25">
        <v>49196</v>
      </c>
      <c r="K9" s="26">
        <v>30592</v>
      </c>
      <c r="L9" s="25">
        <v>45969</v>
      </c>
    </row>
    <row r="10" spans="2:12" x14ac:dyDescent="0.2">
      <c r="B10" s="13" t="s">
        <v>45</v>
      </c>
      <c r="C10" s="23">
        <v>24427</v>
      </c>
      <c r="D10" s="23">
        <v>45353</v>
      </c>
      <c r="E10" s="23">
        <v>4322</v>
      </c>
      <c r="F10" s="23">
        <v>81792</v>
      </c>
      <c r="G10" s="23">
        <v>43253</v>
      </c>
      <c r="H10" s="23">
        <v>90807</v>
      </c>
      <c r="I10" s="23">
        <v>-22058</v>
      </c>
      <c r="J10" s="23">
        <v>97147</v>
      </c>
      <c r="K10" s="23">
        <v>89561</v>
      </c>
      <c r="L10" s="23">
        <v>67260</v>
      </c>
    </row>
    <row r="11" spans="2:12" s="24" customFormat="1" x14ac:dyDescent="0.2">
      <c r="B11" s="16" t="s">
        <v>57</v>
      </c>
      <c r="C11" s="25">
        <v>8108</v>
      </c>
      <c r="D11" s="25">
        <v>423</v>
      </c>
      <c r="E11" s="25">
        <v>33078</v>
      </c>
      <c r="F11" s="25">
        <v>-43105</v>
      </c>
      <c r="G11" s="25">
        <v>-3480</v>
      </c>
      <c r="H11" s="25">
        <v>-51386</v>
      </c>
      <c r="I11" s="25">
        <v>59282</v>
      </c>
      <c r="J11" s="25"/>
    </row>
    <row r="12" spans="2:12" s="24" customFormat="1" x14ac:dyDescent="0.2">
      <c r="B12" s="17" t="s">
        <v>9</v>
      </c>
      <c r="C12" s="25">
        <v>-7553</v>
      </c>
      <c r="D12" s="25">
        <v>-1410</v>
      </c>
      <c r="E12" s="25">
        <v>22155</v>
      </c>
      <c r="F12" s="25">
        <v>-71123</v>
      </c>
      <c r="G12" s="25">
        <v>-40905</v>
      </c>
      <c r="H12" s="25">
        <v>-77576</v>
      </c>
      <c r="I12" s="25">
        <v>67623</v>
      </c>
      <c r="J12" s="25">
        <v>-74855</v>
      </c>
      <c r="K12" s="25">
        <v>-52799</v>
      </c>
      <c r="L12" s="25">
        <v>-39078</v>
      </c>
    </row>
    <row r="13" spans="2:12" x14ac:dyDescent="0.2">
      <c r="B13" s="12" t="s">
        <v>58</v>
      </c>
      <c r="C13" s="23">
        <v>-5128</v>
      </c>
      <c r="D13" s="23">
        <v>-1202</v>
      </c>
      <c r="E13" s="23" t="s">
        <v>55</v>
      </c>
      <c r="F13" s="23" t="s">
        <v>55</v>
      </c>
      <c r="G13" s="23" t="s">
        <v>55</v>
      </c>
      <c r="H13" s="23" t="s">
        <v>55</v>
      </c>
      <c r="I13" s="23" t="s">
        <v>55</v>
      </c>
      <c r="J13" s="23" t="s">
        <v>55</v>
      </c>
      <c r="K13" s="23" t="s">
        <v>55</v>
      </c>
      <c r="L13" s="23" t="s">
        <v>55</v>
      </c>
    </row>
    <row r="14" spans="2:12" x14ac:dyDescent="0.2">
      <c r="B14" s="11" t="s">
        <v>59</v>
      </c>
      <c r="C14" s="23">
        <v>-2425</v>
      </c>
      <c r="D14" s="23">
        <v>-208</v>
      </c>
      <c r="E14" s="23" t="s">
        <v>55</v>
      </c>
      <c r="F14" s="23" t="s">
        <v>55</v>
      </c>
      <c r="G14" s="23" t="s">
        <v>55</v>
      </c>
      <c r="H14" s="23" t="s">
        <v>55</v>
      </c>
      <c r="I14" s="23" t="s">
        <v>55</v>
      </c>
      <c r="J14" s="23" t="s">
        <v>55</v>
      </c>
      <c r="K14" s="23" t="s">
        <v>55</v>
      </c>
      <c r="L14" s="23" t="s">
        <v>55</v>
      </c>
    </row>
    <row r="15" spans="2:12" x14ac:dyDescent="0.2">
      <c r="B15" s="8" t="s">
        <v>60</v>
      </c>
      <c r="C15" s="23">
        <v>8901</v>
      </c>
      <c r="D15" s="23">
        <v>9188</v>
      </c>
      <c r="E15" s="23">
        <v>9779</v>
      </c>
      <c r="F15" s="23">
        <v>10064</v>
      </c>
      <c r="G15" s="23">
        <v>10596</v>
      </c>
      <c r="H15" s="23">
        <v>10718</v>
      </c>
      <c r="I15" s="23">
        <v>10899</v>
      </c>
      <c r="J15" s="23">
        <v>12486</v>
      </c>
      <c r="K15" s="23">
        <v>12855</v>
      </c>
      <c r="L15" s="23">
        <v>13476</v>
      </c>
    </row>
    <row r="16" spans="2:12" x14ac:dyDescent="0.2">
      <c r="B16" s="9" t="s">
        <v>61</v>
      </c>
      <c r="C16" s="23" t="s">
        <v>55</v>
      </c>
      <c r="D16" s="23" t="s">
        <v>55</v>
      </c>
      <c r="E16" s="23" t="s">
        <v>55</v>
      </c>
      <c r="F16" s="23" t="s">
        <v>55</v>
      </c>
      <c r="G16" s="23" t="s">
        <v>55</v>
      </c>
      <c r="H16" s="23" t="s">
        <v>55</v>
      </c>
      <c r="I16" s="23" t="s">
        <v>55</v>
      </c>
      <c r="J16" s="23" t="s">
        <v>55</v>
      </c>
      <c r="K16" s="23" t="s">
        <v>55</v>
      </c>
      <c r="L16" s="23" t="s">
        <v>55</v>
      </c>
    </row>
    <row r="17" spans="1:13" x14ac:dyDescent="0.2">
      <c r="B17" s="8" t="s">
        <v>62</v>
      </c>
      <c r="C17" s="23">
        <v>-161</v>
      </c>
      <c r="D17" s="23">
        <v>458</v>
      </c>
      <c r="E17" s="23">
        <v>2957</v>
      </c>
      <c r="F17" s="23">
        <v>-1254</v>
      </c>
      <c r="G17" s="23">
        <v>11263</v>
      </c>
      <c r="H17" s="23">
        <v>-3397</v>
      </c>
      <c r="I17" s="23">
        <v>-4324</v>
      </c>
      <c r="J17" s="23">
        <f>-5510-513</f>
        <v>-6023</v>
      </c>
      <c r="K17" s="23">
        <f>-11349-892</f>
        <v>-12241</v>
      </c>
      <c r="L17" s="23">
        <f>-11964+10681-3239</f>
        <v>-4522</v>
      </c>
    </row>
    <row r="18" spans="1:13" s="24" customFormat="1" x14ac:dyDescent="0.2">
      <c r="B18" s="17" t="s">
        <v>63</v>
      </c>
      <c r="C18" s="25">
        <f>SUM(C19:C21,C23:C29)</f>
        <v>6921</v>
      </c>
      <c r="D18" s="25">
        <f t="shared" ref="D18:L18" si="1">SUM(D19:D21,D23:D29)</f>
        <v>-7813</v>
      </c>
      <c r="E18" s="25">
        <f t="shared" si="1"/>
        <v>-1813</v>
      </c>
      <c r="F18" s="25">
        <f t="shared" si="1"/>
        <v>19208</v>
      </c>
      <c r="G18" s="25">
        <f t="shared" si="1"/>
        <v>15566</v>
      </c>
      <c r="H18" s="25">
        <f t="shared" si="1"/>
        <v>18869</v>
      </c>
      <c r="I18" s="25">
        <f t="shared" si="1"/>
        <v>-14916</v>
      </c>
      <c r="J18" s="25">
        <f t="shared" si="1"/>
        <v>20441</v>
      </c>
      <c r="K18" s="25">
        <f t="shared" si="1"/>
        <v>-6784</v>
      </c>
      <c r="L18" s="25">
        <f t="shared" si="1"/>
        <v>2355</v>
      </c>
      <c r="M18" s="26"/>
    </row>
    <row r="19" spans="1:13" x14ac:dyDescent="0.2">
      <c r="B19" s="12" t="s">
        <v>64</v>
      </c>
      <c r="C19" s="23">
        <v>4372</v>
      </c>
      <c r="D19" s="23">
        <v>25027</v>
      </c>
      <c r="E19" s="23">
        <v>3449</v>
      </c>
      <c r="F19" s="23">
        <v>6087</v>
      </c>
      <c r="G19" s="23">
        <v>4819</v>
      </c>
      <c r="H19" s="23">
        <v>4595</v>
      </c>
      <c r="I19" s="23">
        <v>4057</v>
      </c>
      <c r="J19" s="23">
        <v>2628</v>
      </c>
      <c r="K19" s="22">
        <v>2173</v>
      </c>
      <c r="L19" s="23">
        <v>3088</v>
      </c>
    </row>
    <row r="20" spans="1:13" x14ac:dyDescent="0.2">
      <c r="B20" s="11" t="s">
        <v>65</v>
      </c>
      <c r="C20" s="23">
        <v>-360</v>
      </c>
      <c r="D20" s="23">
        <v>-7231</v>
      </c>
      <c r="E20" s="23">
        <v>1174</v>
      </c>
      <c r="F20" s="23">
        <v>357</v>
      </c>
      <c r="G20" s="23">
        <v>1307</v>
      </c>
      <c r="H20" s="23">
        <v>1802</v>
      </c>
      <c r="I20" s="23">
        <v>769</v>
      </c>
      <c r="J20" s="23">
        <v>375</v>
      </c>
      <c r="K20" s="23">
        <v>698</v>
      </c>
      <c r="L20" s="23">
        <v>693</v>
      </c>
    </row>
    <row r="21" spans="1:13" x14ac:dyDescent="0.2">
      <c r="B21" s="12" t="s">
        <v>66</v>
      </c>
      <c r="C21" s="23">
        <v>968</v>
      </c>
      <c r="D21" s="23">
        <v>1761</v>
      </c>
      <c r="E21" s="23">
        <v>1794</v>
      </c>
      <c r="F21" s="23">
        <v>1707</v>
      </c>
      <c r="G21" s="23">
        <v>1587</v>
      </c>
      <c r="H21" s="23">
        <v>2306</v>
      </c>
      <c r="I21" s="23">
        <v>1861</v>
      </c>
      <c r="J21" s="23">
        <v>1854</v>
      </c>
      <c r="K21" s="23">
        <v>376</v>
      </c>
      <c r="L21" s="23">
        <v>432</v>
      </c>
    </row>
    <row r="22" spans="1:13" x14ac:dyDescent="0.2">
      <c r="A22" t="s">
        <v>126</v>
      </c>
      <c r="B22" s="88" t="s">
        <v>204</v>
      </c>
      <c r="C22" s="89">
        <f>SUM(C19:C21)</f>
        <v>4980</v>
      </c>
      <c r="D22" s="89">
        <f t="shared" ref="D22:L22" si="2">SUM(D19:D21)</f>
        <v>19557</v>
      </c>
      <c r="E22" s="89">
        <f t="shared" si="2"/>
        <v>6417</v>
      </c>
      <c r="F22" s="89">
        <f t="shared" si="2"/>
        <v>8151</v>
      </c>
      <c r="G22" s="89">
        <f t="shared" si="2"/>
        <v>7713</v>
      </c>
      <c r="H22" s="89">
        <f t="shared" si="2"/>
        <v>8703</v>
      </c>
      <c r="I22" s="89">
        <f t="shared" si="2"/>
        <v>6687</v>
      </c>
      <c r="J22" s="89">
        <f t="shared" si="2"/>
        <v>4857</v>
      </c>
      <c r="K22" s="89">
        <f t="shared" si="2"/>
        <v>3247</v>
      </c>
      <c r="L22" s="90">
        <f t="shared" si="2"/>
        <v>4213</v>
      </c>
    </row>
    <row r="23" spans="1:13" x14ac:dyDescent="0.2">
      <c r="B23" s="11" t="s">
        <v>67</v>
      </c>
      <c r="C23" s="23">
        <v>-3302</v>
      </c>
      <c r="D23" s="23">
        <v>-1990</v>
      </c>
      <c r="E23" s="23">
        <v>-3443</v>
      </c>
      <c r="F23" s="23">
        <v>-2303</v>
      </c>
      <c r="G23" s="23">
        <v>-1609</v>
      </c>
      <c r="H23" s="23">
        <v>-5834</v>
      </c>
      <c r="I23" s="23">
        <v>-5592</v>
      </c>
      <c r="J23" s="23">
        <v>-1949</v>
      </c>
      <c r="K23" s="23">
        <v>626</v>
      </c>
      <c r="L23" s="23">
        <v>-2426</v>
      </c>
    </row>
    <row r="24" spans="1:13" x14ac:dyDescent="0.2">
      <c r="B24" s="12" t="s">
        <v>68</v>
      </c>
      <c r="C24" s="23">
        <v>-946</v>
      </c>
      <c r="D24" s="23">
        <v>-775</v>
      </c>
      <c r="E24" s="23" t="s">
        <v>55</v>
      </c>
      <c r="F24" s="23" t="s">
        <v>55</v>
      </c>
      <c r="G24" s="23" t="s">
        <v>55</v>
      </c>
      <c r="H24" s="23" t="s">
        <v>55</v>
      </c>
      <c r="I24" s="23" t="s">
        <v>55</v>
      </c>
      <c r="J24" s="23" t="s">
        <v>55</v>
      </c>
      <c r="K24" s="23" t="s">
        <v>55</v>
      </c>
      <c r="L24" s="23" t="s">
        <v>55</v>
      </c>
    </row>
    <row r="25" spans="1:13" x14ac:dyDescent="0.2">
      <c r="B25" s="11" t="s">
        <v>69</v>
      </c>
      <c r="C25" s="23" t="s">
        <v>55</v>
      </c>
      <c r="D25" s="23" t="s">
        <v>55</v>
      </c>
      <c r="E25" s="23" t="s">
        <v>55</v>
      </c>
      <c r="F25" s="23" t="s">
        <v>55</v>
      </c>
      <c r="G25" s="23" t="s">
        <v>55</v>
      </c>
      <c r="H25" s="23" t="s">
        <v>55</v>
      </c>
      <c r="I25" s="23">
        <v>-4779</v>
      </c>
      <c r="J25" s="23">
        <v>1426</v>
      </c>
      <c r="K25" s="23" t="s">
        <v>55</v>
      </c>
      <c r="L25" s="23" t="s">
        <v>55</v>
      </c>
    </row>
    <row r="26" spans="1:13" s="24" customFormat="1" x14ac:dyDescent="0.2">
      <c r="B26" s="27" t="s">
        <v>16</v>
      </c>
      <c r="C26" s="25">
        <v>2145</v>
      </c>
      <c r="D26" s="25">
        <v>352</v>
      </c>
      <c r="E26" s="25"/>
      <c r="F26" s="25"/>
      <c r="G26" s="25"/>
      <c r="H26" s="25"/>
      <c r="I26" s="25"/>
      <c r="J26" s="25"/>
    </row>
    <row r="27" spans="1:13" x14ac:dyDescent="0.2">
      <c r="B27" s="28" t="s">
        <v>70</v>
      </c>
      <c r="C27" s="23" t="s">
        <v>55</v>
      </c>
      <c r="D27" s="23" t="s">
        <v>55</v>
      </c>
      <c r="E27" s="23">
        <v>-1832</v>
      </c>
      <c r="F27" s="23">
        <v>-2011</v>
      </c>
      <c r="G27" s="23">
        <v>-1109</v>
      </c>
      <c r="H27" s="23">
        <v>-1686</v>
      </c>
      <c r="I27" s="23">
        <v>-373</v>
      </c>
      <c r="J27" s="23">
        <v>-1328</v>
      </c>
      <c r="K27" s="23">
        <v>-206</v>
      </c>
      <c r="L27" s="23">
        <v>-861</v>
      </c>
      <c r="M27" s="22"/>
    </row>
    <row r="28" spans="1:13" x14ac:dyDescent="0.2">
      <c r="B28" s="29" t="s">
        <v>71</v>
      </c>
      <c r="C28" s="23" t="s">
        <v>55</v>
      </c>
      <c r="D28" s="23" t="s">
        <v>55</v>
      </c>
      <c r="E28" s="23">
        <v>2002</v>
      </c>
      <c r="F28" s="23">
        <v>190</v>
      </c>
      <c r="G28" s="23">
        <v>3376</v>
      </c>
      <c r="H28" s="23">
        <v>2389</v>
      </c>
      <c r="I28" s="23">
        <v>2033</v>
      </c>
      <c r="J28" s="23">
        <v>2570</v>
      </c>
      <c r="K28" s="23">
        <v>-2288</v>
      </c>
      <c r="L28" s="23">
        <v>429</v>
      </c>
    </row>
    <row r="29" spans="1:13" x14ac:dyDescent="0.2">
      <c r="B29" s="11" t="s">
        <v>72</v>
      </c>
      <c r="C29" s="23">
        <v>4044</v>
      </c>
      <c r="D29" s="23">
        <v>-24957</v>
      </c>
      <c r="E29" s="23">
        <v>-4957</v>
      </c>
      <c r="F29" s="23">
        <v>15181</v>
      </c>
      <c r="G29" s="23">
        <v>7195</v>
      </c>
      <c r="H29" s="23">
        <v>15297</v>
      </c>
      <c r="I29" s="23">
        <v>-12892</v>
      </c>
      <c r="J29" s="23">
        <v>14865</v>
      </c>
      <c r="K29" s="23">
        <v>-8163</v>
      </c>
      <c r="L29" s="23">
        <v>1000</v>
      </c>
    </row>
    <row r="30" spans="1:13" x14ac:dyDescent="0.2">
      <c r="B30" s="11" t="s">
        <v>205</v>
      </c>
      <c r="C30" s="23">
        <f>SUM(C23:C29)</f>
        <v>1941</v>
      </c>
      <c r="D30" s="23">
        <f t="shared" ref="D30:L30" si="3">SUM(D23:D29)</f>
        <v>-27370</v>
      </c>
      <c r="E30" s="23">
        <f t="shared" si="3"/>
        <v>-8230</v>
      </c>
      <c r="F30" s="23">
        <f t="shared" si="3"/>
        <v>11057</v>
      </c>
      <c r="G30" s="23">
        <f t="shared" si="3"/>
        <v>7853</v>
      </c>
      <c r="H30" s="23">
        <f t="shared" si="3"/>
        <v>10166</v>
      </c>
      <c r="I30" s="23">
        <f t="shared" si="3"/>
        <v>-21603</v>
      </c>
      <c r="J30" s="23">
        <f t="shared" si="3"/>
        <v>15584</v>
      </c>
      <c r="K30" s="23">
        <f t="shared" si="3"/>
        <v>-10031</v>
      </c>
      <c r="L30" s="23">
        <f t="shared" si="3"/>
        <v>-1858</v>
      </c>
    </row>
    <row r="31" spans="1:13" s="24" customFormat="1" x14ac:dyDescent="0.2">
      <c r="B31" s="6" t="s">
        <v>73</v>
      </c>
      <c r="C31" s="25">
        <v>-84267</v>
      </c>
      <c r="D31" s="25">
        <v>-41091</v>
      </c>
      <c r="E31" s="25">
        <v>-32849</v>
      </c>
      <c r="F31" s="25">
        <v>-5621</v>
      </c>
      <c r="G31" s="25">
        <v>-37757</v>
      </c>
      <c r="H31" s="25">
        <v>29392</v>
      </c>
      <c r="I31" s="25">
        <v>-87601</v>
      </c>
      <c r="J31" s="25">
        <v>-32663</v>
      </c>
      <c r="K31" s="25">
        <v>-10287</v>
      </c>
      <c r="L31" s="25">
        <v>-44487</v>
      </c>
    </row>
    <row r="32" spans="1:13" x14ac:dyDescent="0.2">
      <c r="B32" s="13" t="s">
        <v>74</v>
      </c>
      <c r="C32" s="23">
        <v>-16508</v>
      </c>
      <c r="D32" s="23">
        <v>-20326</v>
      </c>
      <c r="E32" s="23">
        <v>-43210</v>
      </c>
      <c r="F32" s="23">
        <v>-18642</v>
      </c>
      <c r="G32" s="23">
        <v>-30161</v>
      </c>
      <c r="H32" s="23">
        <v>-8448</v>
      </c>
      <c r="I32" s="23">
        <v>-67930</v>
      </c>
      <c r="J32" s="23">
        <v>-16462</v>
      </c>
      <c r="K32" s="23">
        <v>-9237</v>
      </c>
      <c r="L32" s="23">
        <v>-16923</v>
      </c>
    </row>
    <row r="33" spans="2:12" x14ac:dyDescent="0.2">
      <c r="B33" s="14" t="s">
        <v>75</v>
      </c>
      <c r="C33" s="23">
        <v>0</v>
      </c>
      <c r="D33" s="23">
        <v>0</v>
      </c>
      <c r="E33" s="23" t="s">
        <v>55</v>
      </c>
      <c r="F33" s="23" t="s">
        <v>55</v>
      </c>
      <c r="G33" s="23" t="s">
        <v>55</v>
      </c>
      <c r="H33" s="23" t="s">
        <v>55</v>
      </c>
      <c r="I33" s="23" t="s">
        <v>55</v>
      </c>
      <c r="J33" s="23" t="s">
        <v>55</v>
      </c>
      <c r="K33" s="23" t="s">
        <v>55</v>
      </c>
      <c r="L33" s="23" t="s">
        <v>55</v>
      </c>
    </row>
    <row r="34" spans="2:12" s="24" customFormat="1" x14ac:dyDescent="0.2">
      <c r="B34" s="7" t="s">
        <v>76</v>
      </c>
      <c r="C34" s="25">
        <v>28464</v>
      </c>
      <c r="D34" s="25">
        <v>19512</v>
      </c>
      <c r="E34" s="25">
        <v>18783</v>
      </c>
      <c r="F34" s="25">
        <v>14336</v>
      </c>
      <c r="G34" s="25">
        <v>38756</v>
      </c>
      <c r="H34" s="25">
        <v>15849</v>
      </c>
      <c r="I34" s="25">
        <v>33664</v>
      </c>
      <c r="J34" s="25">
        <v>40631</v>
      </c>
      <c r="K34" s="25">
        <v>143359</v>
      </c>
      <c r="L34" s="25">
        <v>30686</v>
      </c>
    </row>
    <row r="35" spans="2:12" x14ac:dyDescent="0.2">
      <c r="B35" s="8" t="s">
        <v>77</v>
      </c>
      <c r="C35" s="23" t="s">
        <v>55</v>
      </c>
      <c r="D35" s="23" t="s">
        <v>55</v>
      </c>
      <c r="E35" s="23" t="s">
        <v>55</v>
      </c>
      <c r="F35" s="23" t="s">
        <v>55</v>
      </c>
      <c r="G35" s="23" t="s">
        <v>55</v>
      </c>
      <c r="H35" s="23" t="s">
        <v>55</v>
      </c>
      <c r="I35" s="23" t="s">
        <v>55</v>
      </c>
      <c r="J35" s="23" t="s">
        <v>55</v>
      </c>
      <c r="K35" s="23" t="s">
        <v>55</v>
      </c>
      <c r="L35" s="23" t="s">
        <v>55</v>
      </c>
    </row>
    <row r="36" spans="2:12" x14ac:dyDescent="0.2">
      <c r="B36" s="9" t="s">
        <v>78</v>
      </c>
      <c r="C36" s="23" t="s">
        <v>55</v>
      </c>
      <c r="D36" s="23" t="s">
        <v>55</v>
      </c>
      <c r="E36" s="23" t="s">
        <v>55</v>
      </c>
      <c r="F36" s="23" t="s">
        <v>55</v>
      </c>
      <c r="G36" s="23" t="s">
        <v>55</v>
      </c>
      <c r="H36" s="23" t="s">
        <v>55</v>
      </c>
      <c r="I36" s="23" t="s">
        <v>55</v>
      </c>
      <c r="J36" s="23" t="s">
        <v>55</v>
      </c>
      <c r="K36" s="23" t="s">
        <v>55</v>
      </c>
      <c r="L36" s="23" t="s">
        <v>55</v>
      </c>
    </row>
    <row r="37" spans="2:12" x14ac:dyDescent="0.2">
      <c r="B37" s="14" t="s">
        <v>79</v>
      </c>
      <c r="C37" s="23">
        <v>-96568</v>
      </c>
      <c r="D37" s="23">
        <v>-158492</v>
      </c>
      <c r="E37" s="23">
        <v>-141844</v>
      </c>
      <c r="F37" s="23">
        <v>-136123</v>
      </c>
      <c r="G37" s="23">
        <v>-208429</v>
      </c>
      <c r="H37" s="23">
        <v>-152637</v>
      </c>
      <c r="I37" s="23">
        <v>-183922</v>
      </c>
      <c r="J37" s="23">
        <v>-235007</v>
      </c>
      <c r="K37" s="23">
        <v>-526842</v>
      </c>
      <c r="L37" s="23">
        <v>-586129</v>
      </c>
    </row>
    <row r="38" spans="2:12" x14ac:dyDescent="0.2">
      <c r="B38" s="13" t="s">
        <v>80</v>
      </c>
      <c r="C38" s="23">
        <v>18757</v>
      </c>
      <c r="D38" s="23">
        <v>49327</v>
      </c>
      <c r="E38" s="23">
        <v>39693</v>
      </c>
      <c r="F38" s="23">
        <v>15929</v>
      </c>
      <c r="G38" s="23">
        <v>31873</v>
      </c>
      <c r="H38" s="23">
        <v>27188</v>
      </c>
      <c r="I38" s="23">
        <v>90088</v>
      </c>
      <c r="J38" s="23">
        <v>52302</v>
      </c>
      <c r="K38" s="23">
        <v>48462</v>
      </c>
      <c r="L38" s="23">
        <v>44769</v>
      </c>
    </row>
    <row r="39" spans="2:12" x14ac:dyDescent="0.2">
      <c r="B39" s="14" t="s">
        <v>81</v>
      </c>
      <c r="C39" s="23">
        <v>26177</v>
      </c>
      <c r="D39" s="23">
        <v>86727</v>
      </c>
      <c r="E39" s="23">
        <v>113045</v>
      </c>
      <c r="F39" s="23">
        <v>137767</v>
      </c>
      <c r="G39" s="23">
        <v>149709</v>
      </c>
      <c r="H39" s="23">
        <v>160402</v>
      </c>
      <c r="I39" s="23">
        <v>66318</v>
      </c>
      <c r="J39" s="23">
        <v>153201</v>
      </c>
      <c r="K39" s="23">
        <v>353538</v>
      </c>
      <c r="L39" s="23">
        <v>503954</v>
      </c>
    </row>
    <row r="40" spans="2:12" x14ac:dyDescent="0.2">
      <c r="B40" s="13" t="s">
        <v>82</v>
      </c>
      <c r="C40" s="23">
        <v>-31399</v>
      </c>
      <c r="D40" s="23">
        <v>-2708</v>
      </c>
      <c r="E40" s="23">
        <v>-3279</v>
      </c>
      <c r="F40" s="23">
        <v>-1683</v>
      </c>
      <c r="G40" s="23">
        <v>-2532</v>
      </c>
      <c r="H40" s="23">
        <v>-456</v>
      </c>
      <c r="I40" s="23">
        <v>-10594</v>
      </c>
      <c r="J40" s="23">
        <v>-8604</v>
      </c>
      <c r="K40" s="23">
        <v>-396</v>
      </c>
      <c r="L40" s="23">
        <v>-1074</v>
      </c>
    </row>
    <row r="41" spans="2:12" x14ac:dyDescent="0.2">
      <c r="B41" s="14" t="s">
        <v>83</v>
      </c>
      <c r="C41" s="23">
        <v>-12954</v>
      </c>
      <c r="D41" s="23">
        <v>-11708</v>
      </c>
      <c r="E41" s="23">
        <v>-14537</v>
      </c>
      <c r="F41" s="23">
        <v>-15979</v>
      </c>
      <c r="G41" s="23">
        <v>-13012</v>
      </c>
      <c r="H41" s="23">
        <v>-13276</v>
      </c>
      <c r="I41" s="23">
        <v>-15464</v>
      </c>
      <c r="J41" s="23">
        <v>-19409</v>
      </c>
      <c r="K41" s="23">
        <v>-18976</v>
      </c>
      <c r="L41" s="23">
        <v>-20927</v>
      </c>
    </row>
    <row r="42" spans="2:12" s="24" customFormat="1" x14ac:dyDescent="0.2">
      <c r="B42" s="7" t="s">
        <v>16</v>
      </c>
      <c r="C42" s="25">
        <v>-236</v>
      </c>
      <c r="D42" s="25">
        <v>-3423</v>
      </c>
      <c r="E42" s="25">
        <v>-1500</v>
      </c>
      <c r="F42" s="25">
        <v>-1226</v>
      </c>
      <c r="G42" s="25">
        <v>-3961</v>
      </c>
      <c r="H42" s="25">
        <v>770</v>
      </c>
      <c r="I42" s="25">
        <v>239</v>
      </c>
      <c r="J42" s="25">
        <v>685</v>
      </c>
      <c r="K42" s="25">
        <v>-195</v>
      </c>
      <c r="L42" s="25">
        <v>-1157</v>
      </c>
    </row>
    <row r="43" spans="2:12" x14ac:dyDescent="0.2">
      <c r="B43" s="8" t="s">
        <v>84</v>
      </c>
      <c r="C43" s="23">
        <v>-307</v>
      </c>
      <c r="D43" s="23">
        <v>-1435</v>
      </c>
      <c r="E43" s="23">
        <v>-1771</v>
      </c>
      <c r="F43" s="23">
        <v>-75</v>
      </c>
      <c r="G43" s="23">
        <v>-772</v>
      </c>
      <c r="H43" s="23">
        <v>-88</v>
      </c>
      <c r="I43" s="23" t="s">
        <v>55</v>
      </c>
      <c r="J43" s="23" t="s">
        <v>55</v>
      </c>
      <c r="K43" s="23" t="s">
        <v>55</v>
      </c>
      <c r="L43" s="23" t="s">
        <v>55</v>
      </c>
    </row>
    <row r="44" spans="2:12" x14ac:dyDescent="0.2">
      <c r="B44" s="9" t="s">
        <v>85</v>
      </c>
      <c r="C44" s="23">
        <v>490</v>
      </c>
      <c r="D44" s="23">
        <v>1702</v>
      </c>
      <c r="E44" s="23">
        <v>342</v>
      </c>
      <c r="F44" s="23">
        <v>345</v>
      </c>
      <c r="G44" s="23">
        <v>393</v>
      </c>
      <c r="H44" s="23">
        <v>561</v>
      </c>
      <c r="I44" s="23" t="s">
        <v>55</v>
      </c>
      <c r="J44" s="23" t="s">
        <v>55</v>
      </c>
      <c r="K44" s="23" t="s">
        <v>55</v>
      </c>
      <c r="L44" s="23" t="s">
        <v>55</v>
      </c>
    </row>
    <row r="45" spans="2:12" x14ac:dyDescent="0.2">
      <c r="B45" s="8" t="s">
        <v>86</v>
      </c>
      <c r="C45" s="23">
        <v>-419</v>
      </c>
      <c r="D45" s="23">
        <v>-3690</v>
      </c>
      <c r="E45" s="23">
        <v>-71</v>
      </c>
      <c r="F45" s="23">
        <v>-1496</v>
      </c>
      <c r="G45" s="23">
        <v>-3582</v>
      </c>
      <c r="H45" s="23">
        <v>297</v>
      </c>
      <c r="I45" s="23" t="s">
        <v>55</v>
      </c>
      <c r="J45" s="23" t="s">
        <v>55</v>
      </c>
      <c r="K45" s="23" t="s">
        <v>55</v>
      </c>
      <c r="L45" s="23" t="s">
        <v>55</v>
      </c>
    </row>
    <row r="46" spans="2:12" s="24" customFormat="1" x14ac:dyDescent="0.2">
      <c r="B46" s="15" t="s">
        <v>87</v>
      </c>
      <c r="C46" s="25">
        <v>12791</v>
      </c>
      <c r="D46" s="25">
        <v>-1398</v>
      </c>
      <c r="E46" s="25">
        <v>-5812</v>
      </c>
      <c r="F46" s="25">
        <v>730</v>
      </c>
      <c r="G46" s="25">
        <v>-18344</v>
      </c>
      <c r="H46" s="25">
        <v>-28508</v>
      </c>
      <c r="I46" s="25">
        <v>-1662</v>
      </c>
      <c r="J46" s="25">
        <v>-14405</v>
      </c>
      <c r="K46" s="25">
        <v>-10360</v>
      </c>
      <c r="L46" s="25">
        <v>2233</v>
      </c>
    </row>
    <row r="47" spans="2:12" s="24" customFormat="1" x14ac:dyDescent="0.2">
      <c r="B47" s="16" t="s">
        <v>88</v>
      </c>
      <c r="C47" s="25">
        <v>14172</v>
      </c>
      <c r="D47" s="25">
        <v>2645</v>
      </c>
      <c r="E47" s="25">
        <v>2409</v>
      </c>
      <c r="F47" s="25">
        <v>8144</v>
      </c>
      <c r="G47" s="25">
        <v>5925</v>
      </c>
      <c r="H47" s="25">
        <v>2961</v>
      </c>
      <c r="I47" s="25">
        <v>7822</v>
      </c>
      <c r="J47" s="25">
        <v>2133</v>
      </c>
      <c r="K47" s="25">
        <v>5528</v>
      </c>
      <c r="L47" s="25">
        <v>3071</v>
      </c>
    </row>
    <row r="48" spans="2:12" x14ac:dyDescent="0.2">
      <c r="B48" s="9" t="s">
        <v>89</v>
      </c>
      <c r="C48" s="23">
        <v>9431</v>
      </c>
      <c r="D48" s="23">
        <v>1342</v>
      </c>
      <c r="E48" s="23">
        <v>2409</v>
      </c>
      <c r="F48" s="23">
        <v>8144</v>
      </c>
      <c r="G48" s="23">
        <v>5925</v>
      </c>
      <c r="H48" s="23">
        <v>2961</v>
      </c>
      <c r="I48" s="23">
        <v>7822</v>
      </c>
      <c r="J48" s="23">
        <v>2133</v>
      </c>
      <c r="K48" s="23">
        <v>5528</v>
      </c>
      <c r="L48" s="23">
        <v>3071</v>
      </c>
    </row>
    <row r="49" spans="2:12" x14ac:dyDescent="0.2">
      <c r="B49" s="8" t="s">
        <v>90</v>
      </c>
      <c r="C49" s="23">
        <v>4741</v>
      </c>
      <c r="D49" s="23">
        <v>1303</v>
      </c>
      <c r="E49" s="23" t="s">
        <v>55</v>
      </c>
      <c r="F49" s="23" t="s">
        <v>55</v>
      </c>
      <c r="G49" s="23" t="s">
        <v>55</v>
      </c>
      <c r="H49" s="23" t="s">
        <v>55</v>
      </c>
      <c r="I49" s="23" t="s">
        <v>55</v>
      </c>
      <c r="J49" s="23" t="s">
        <v>55</v>
      </c>
      <c r="K49" t="s">
        <v>55</v>
      </c>
      <c r="L49" s="23" t="s">
        <v>55</v>
      </c>
    </row>
    <row r="50" spans="2:12" s="24" customFormat="1" x14ac:dyDescent="0.2">
      <c r="B50" s="7" t="s">
        <v>91</v>
      </c>
      <c r="C50" s="25">
        <v>-2577</v>
      </c>
      <c r="D50" s="25">
        <v>-5465</v>
      </c>
      <c r="E50" s="25">
        <v>-7395</v>
      </c>
      <c r="F50" s="25">
        <v>-5095</v>
      </c>
      <c r="G50" s="25">
        <v>-2700</v>
      </c>
      <c r="H50" s="25">
        <v>-3032</v>
      </c>
      <c r="I50" s="25">
        <v>-1502</v>
      </c>
      <c r="J50" s="25">
        <v>-6027</v>
      </c>
      <c r="K50" s="25">
        <v>-7796</v>
      </c>
      <c r="L50" s="25">
        <v>-3050</v>
      </c>
    </row>
    <row r="51" spans="2:12" x14ac:dyDescent="0.2">
      <c r="B51" s="8" t="s">
        <v>92</v>
      </c>
      <c r="C51" s="23">
        <v>-1264</v>
      </c>
      <c r="D51" s="23">
        <v>-1856</v>
      </c>
      <c r="E51" s="23">
        <v>-7395</v>
      </c>
      <c r="F51" s="23">
        <v>-5095</v>
      </c>
      <c r="G51" s="23">
        <v>-2700</v>
      </c>
      <c r="H51" s="23">
        <v>-3032</v>
      </c>
      <c r="I51" s="23">
        <v>-1502</v>
      </c>
      <c r="J51" s="23">
        <v>-6027</v>
      </c>
      <c r="K51" s="25">
        <v>-7796</v>
      </c>
      <c r="L51" s="25">
        <v>-3050</v>
      </c>
    </row>
    <row r="52" spans="2:12" x14ac:dyDescent="0.2">
      <c r="B52" s="9" t="s">
        <v>93</v>
      </c>
      <c r="C52" s="23">
        <v>-1313</v>
      </c>
      <c r="D52" s="23">
        <v>-3609</v>
      </c>
      <c r="E52" s="23" t="s">
        <v>55</v>
      </c>
      <c r="F52" s="23" t="s">
        <v>55</v>
      </c>
      <c r="G52" s="23" t="s">
        <v>55</v>
      </c>
      <c r="H52" s="23" t="s">
        <v>55</v>
      </c>
      <c r="I52" s="23" t="s">
        <v>55</v>
      </c>
      <c r="J52" s="23" t="s">
        <v>55</v>
      </c>
      <c r="K52" s="23" t="s">
        <v>55</v>
      </c>
      <c r="L52" s="23" t="s">
        <v>55</v>
      </c>
    </row>
    <row r="53" spans="2:12" x14ac:dyDescent="0.2">
      <c r="B53" s="14" t="s">
        <v>94</v>
      </c>
      <c r="C53" s="23">
        <v>3077</v>
      </c>
      <c r="D53" s="23">
        <v>3013</v>
      </c>
      <c r="E53" s="23">
        <v>7019</v>
      </c>
      <c r="F53" s="23">
        <v>5400</v>
      </c>
      <c r="G53" s="23">
        <v>8445</v>
      </c>
      <c r="H53" s="23">
        <v>3959</v>
      </c>
      <c r="I53" s="23">
        <v>4873</v>
      </c>
      <c r="J53" s="23">
        <v>5684</v>
      </c>
      <c r="K53" s="23">
        <v>7658</v>
      </c>
      <c r="L53" s="23">
        <v>6101</v>
      </c>
    </row>
    <row r="54" spans="2:12" x14ac:dyDescent="0.2">
      <c r="B54" s="13" t="s">
        <v>95</v>
      </c>
      <c r="C54" s="23">
        <v>-2123</v>
      </c>
      <c r="D54" s="23">
        <v>-3549</v>
      </c>
      <c r="E54" s="23">
        <v>-4213</v>
      </c>
      <c r="F54" s="23">
        <v>-2638</v>
      </c>
      <c r="G54" s="23">
        <v>-3761</v>
      </c>
      <c r="H54" s="23">
        <v>-4016</v>
      </c>
      <c r="I54" s="23">
        <v>-2426</v>
      </c>
      <c r="J54" s="23">
        <v>-5284</v>
      </c>
      <c r="K54" s="23">
        <v>-4151</v>
      </c>
      <c r="L54" s="23">
        <v>-3974</v>
      </c>
    </row>
    <row r="55" spans="2:12" x14ac:dyDescent="0.2">
      <c r="B55" s="14" t="s">
        <v>96</v>
      </c>
      <c r="C55" s="23">
        <v>130</v>
      </c>
      <c r="D55" s="23">
        <v>2079</v>
      </c>
      <c r="E55" s="23">
        <v>-1943</v>
      </c>
      <c r="F55" s="23">
        <v>266</v>
      </c>
      <c r="G55" s="23">
        <v>-1118</v>
      </c>
      <c r="H55" s="23">
        <v>-624</v>
      </c>
      <c r="I55" s="23">
        <v>-596</v>
      </c>
      <c r="J55" s="23">
        <v>2407</v>
      </c>
      <c r="K55" s="23">
        <v>-3059</v>
      </c>
      <c r="L55" s="23">
        <v>878</v>
      </c>
    </row>
    <row r="56" spans="2:12" s="24" customFormat="1" x14ac:dyDescent="0.2">
      <c r="B56" s="7" t="s">
        <v>97</v>
      </c>
      <c r="C56" s="25">
        <v>112</v>
      </c>
      <c r="D56" s="25">
        <v>-121</v>
      </c>
      <c r="E56" s="25">
        <v>-1689</v>
      </c>
      <c r="F56" s="25">
        <v>-5347</v>
      </c>
      <c r="G56" s="25">
        <v>-25135</v>
      </c>
      <c r="H56" s="25">
        <v>-27756</v>
      </c>
      <c r="I56" s="25">
        <v>-9833</v>
      </c>
      <c r="J56" s="25"/>
    </row>
    <row r="57" spans="2:12" s="24" customFormat="1" x14ac:dyDescent="0.2">
      <c r="B57" s="10" t="s">
        <v>98</v>
      </c>
      <c r="C57" s="25" t="s">
        <v>55</v>
      </c>
      <c r="D57" s="25" t="s">
        <v>55</v>
      </c>
      <c r="E57" s="25">
        <v>-1346</v>
      </c>
      <c r="F57" s="25">
        <v>-4850</v>
      </c>
      <c r="G57" s="25">
        <v>-24706</v>
      </c>
      <c r="H57" s="25">
        <v>-27061</v>
      </c>
      <c r="I57" s="25">
        <v>-7854</v>
      </c>
      <c r="J57" s="25">
        <v>-9171</v>
      </c>
      <c r="K57" s="25">
        <v>-2918</v>
      </c>
    </row>
    <row r="58" spans="2:12" x14ac:dyDescent="0.2">
      <c r="B58" s="11" t="s">
        <v>99</v>
      </c>
      <c r="C58" s="23" t="s">
        <v>55</v>
      </c>
      <c r="D58" s="23" t="s">
        <v>55</v>
      </c>
      <c r="E58" s="23">
        <v>-1346</v>
      </c>
      <c r="F58" s="23">
        <v>-4850</v>
      </c>
      <c r="G58" s="23">
        <v>-24706</v>
      </c>
      <c r="H58" s="23">
        <v>-27061</v>
      </c>
      <c r="I58" s="23">
        <v>-7854</v>
      </c>
      <c r="J58" s="23">
        <v>-9171</v>
      </c>
      <c r="K58" s="23">
        <v>-2918</v>
      </c>
    </row>
    <row r="59" spans="2:12" x14ac:dyDescent="0.2">
      <c r="B59" s="12" t="s">
        <v>100</v>
      </c>
      <c r="C59" s="23" t="s">
        <v>55</v>
      </c>
      <c r="D59" s="23" t="s">
        <v>55</v>
      </c>
      <c r="E59" s="23" t="s">
        <v>55</v>
      </c>
      <c r="F59" s="23" t="s">
        <v>55</v>
      </c>
      <c r="G59" s="23" t="s">
        <v>55</v>
      </c>
      <c r="H59" s="23" t="s">
        <v>55</v>
      </c>
      <c r="I59" s="23" t="s">
        <v>55</v>
      </c>
      <c r="J59" s="23" t="s">
        <v>55</v>
      </c>
    </row>
    <row r="60" spans="2:12" x14ac:dyDescent="0.2">
      <c r="B60" s="9" t="s">
        <v>101</v>
      </c>
      <c r="C60" s="23" t="s">
        <v>55</v>
      </c>
      <c r="D60" s="23">
        <v>-121</v>
      </c>
      <c r="E60" s="23">
        <v>-343</v>
      </c>
      <c r="F60" s="23">
        <v>-497</v>
      </c>
      <c r="G60" s="23">
        <v>-429</v>
      </c>
      <c r="H60" s="23">
        <v>-695</v>
      </c>
      <c r="I60" s="23">
        <v>-1979</v>
      </c>
      <c r="J60" s="23">
        <v>-4147</v>
      </c>
      <c r="K60" s="23">
        <v>-5622</v>
      </c>
      <c r="L60" s="23">
        <v>-793</v>
      </c>
    </row>
    <row r="61" spans="2:12" x14ac:dyDescent="0.2">
      <c r="B61" s="19" t="s">
        <v>102</v>
      </c>
      <c r="C61" s="23">
        <v>-172</v>
      </c>
      <c r="D61" s="23">
        <v>248</v>
      </c>
      <c r="E61" s="23">
        <v>-140</v>
      </c>
      <c r="F61" s="23">
        <v>25</v>
      </c>
      <c r="G61" s="23">
        <v>92</v>
      </c>
      <c r="H61" s="23">
        <v>5</v>
      </c>
      <c r="I61" s="23">
        <v>-268</v>
      </c>
      <c r="J61" s="23">
        <v>116</v>
      </c>
      <c r="K61" s="23">
        <v>-212</v>
      </c>
      <c r="L61" s="23">
        <v>478</v>
      </c>
    </row>
    <row r="62" spans="2:12" x14ac:dyDescent="0.2">
      <c r="B62" s="18" t="s">
        <v>103</v>
      </c>
      <c r="C62" s="23">
        <v>-39113</v>
      </c>
      <c r="D62" s="23">
        <v>3535</v>
      </c>
      <c r="E62" s="23">
        <v>-1401</v>
      </c>
      <c r="F62" s="23">
        <v>33821</v>
      </c>
      <c r="G62" s="23">
        <v>-16236</v>
      </c>
      <c r="H62" s="23">
        <v>40310</v>
      </c>
      <c r="I62" s="23">
        <v>-52307</v>
      </c>
      <c r="J62" s="23">
        <v>2244</v>
      </c>
      <c r="K62" s="23">
        <v>9733</v>
      </c>
      <c r="L62" s="23">
        <v>4193</v>
      </c>
    </row>
    <row r="63" spans="2:12" x14ac:dyDescent="0.2">
      <c r="B63" s="19" t="s">
        <v>104</v>
      </c>
      <c r="C63" s="23">
        <v>67161</v>
      </c>
      <c r="D63" s="23">
        <v>28048</v>
      </c>
      <c r="E63" s="23">
        <v>32212</v>
      </c>
      <c r="F63" s="23">
        <v>30811</v>
      </c>
      <c r="G63" s="23">
        <v>64632</v>
      </c>
      <c r="H63" s="23">
        <v>48396</v>
      </c>
      <c r="I63" s="23">
        <v>88706</v>
      </c>
      <c r="J63" s="23">
        <v>36399</v>
      </c>
      <c r="K63" s="23">
        <v>38643</v>
      </c>
      <c r="L63" s="23">
        <v>48376</v>
      </c>
    </row>
    <row r="64" spans="2:12" s="24" customFormat="1" x14ac:dyDescent="0.2">
      <c r="B64" s="15" t="s">
        <v>58</v>
      </c>
      <c r="C64" s="25">
        <v>63724</v>
      </c>
      <c r="D64" s="25">
        <v>24109</v>
      </c>
      <c r="E64" s="25" t="s">
        <v>55</v>
      </c>
      <c r="F64" s="25" t="s">
        <v>55</v>
      </c>
      <c r="G64" s="25" t="s">
        <v>55</v>
      </c>
      <c r="H64" s="25" t="s">
        <v>55</v>
      </c>
      <c r="I64" s="25" t="s">
        <v>55</v>
      </c>
      <c r="J64" s="25" t="s">
        <v>55</v>
      </c>
      <c r="K64" s="25" t="s">
        <v>55</v>
      </c>
      <c r="L64" s="25" t="s">
        <v>55</v>
      </c>
    </row>
    <row r="65" spans="2:12" x14ac:dyDescent="0.2">
      <c r="B65" s="14" t="s">
        <v>105</v>
      </c>
      <c r="C65" s="23">
        <v>56612</v>
      </c>
      <c r="D65" s="23">
        <v>23581</v>
      </c>
      <c r="E65" s="23" t="s">
        <v>55</v>
      </c>
      <c r="F65" s="23" t="s">
        <v>55</v>
      </c>
      <c r="G65" s="23" t="s">
        <v>55</v>
      </c>
      <c r="H65" s="23" t="s">
        <v>55</v>
      </c>
      <c r="I65" s="23" t="s">
        <v>55</v>
      </c>
      <c r="J65" s="23" t="s">
        <v>55</v>
      </c>
      <c r="K65" s="23" t="s">
        <v>55</v>
      </c>
      <c r="L65" s="23" t="s">
        <v>55</v>
      </c>
    </row>
    <row r="66" spans="2:12" x14ac:dyDescent="0.2">
      <c r="B66" s="13" t="s">
        <v>106</v>
      </c>
      <c r="C66" s="23">
        <v>7112</v>
      </c>
      <c r="D66" s="23">
        <v>528</v>
      </c>
      <c r="E66" s="23" t="s">
        <v>55</v>
      </c>
      <c r="F66" s="23" t="s">
        <v>55</v>
      </c>
      <c r="G66" s="23" t="s">
        <v>55</v>
      </c>
      <c r="H66" s="23" t="s">
        <v>55</v>
      </c>
      <c r="I66" s="23" t="s">
        <v>55</v>
      </c>
      <c r="J66" s="23" t="s">
        <v>55</v>
      </c>
      <c r="K66" s="23" t="s">
        <v>55</v>
      </c>
      <c r="L66" s="23" t="s">
        <v>55</v>
      </c>
    </row>
    <row r="67" spans="2:12" x14ac:dyDescent="0.2">
      <c r="B67" s="19" t="s">
        <v>107</v>
      </c>
      <c r="C67" s="23">
        <v>3437</v>
      </c>
      <c r="D67" s="23">
        <v>3939</v>
      </c>
      <c r="E67" s="23" t="s">
        <v>55</v>
      </c>
      <c r="F67" s="23" t="s">
        <v>55</v>
      </c>
      <c r="G67" s="23" t="s">
        <v>55</v>
      </c>
      <c r="H67" s="23" t="s">
        <v>55</v>
      </c>
      <c r="I67" s="23" t="s">
        <v>55</v>
      </c>
      <c r="J67" s="23" t="s">
        <v>55</v>
      </c>
      <c r="K67" s="23" t="s">
        <v>55</v>
      </c>
      <c r="L67" s="23" t="s">
        <v>55</v>
      </c>
    </row>
    <row r="68" spans="2:12" x14ac:dyDescent="0.2">
      <c r="B68" s="18" t="s">
        <v>108</v>
      </c>
      <c r="C68" s="23" t="s">
        <v>55</v>
      </c>
      <c r="D68" s="23" t="s">
        <v>55</v>
      </c>
      <c r="E68" s="23" t="s">
        <v>55</v>
      </c>
      <c r="F68" s="23" t="s">
        <v>55</v>
      </c>
      <c r="G68" s="23" t="s">
        <v>55</v>
      </c>
      <c r="H68" s="23" t="s">
        <v>55</v>
      </c>
      <c r="I68" s="23" t="s">
        <v>55</v>
      </c>
      <c r="J68" s="23" t="s">
        <v>55</v>
      </c>
      <c r="K68" s="23" t="s">
        <v>55</v>
      </c>
      <c r="L68" s="23" t="s">
        <v>55</v>
      </c>
    </row>
    <row r="69" spans="2:12" s="24" customFormat="1" x14ac:dyDescent="0.2">
      <c r="B69" s="6" t="s">
        <v>109</v>
      </c>
      <c r="C69" s="25">
        <v>28048</v>
      </c>
      <c r="D69" s="25">
        <v>31583</v>
      </c>
      <c r="E69" s="25">
        <v>30811</v>
      </c>
      <c r="F69" s="25">
        <v>64632</v>
      </c>
      <c r="G69" s="25">
        <v>48396</v>
      </c>
      <c r="H69" s="25">
        <v>88706</v>
      </c>
      <c r="I69" s="25">
        <v>36399</v>
      </c>
      <c r="J69" s="25">
        <v>38643</v>
      </c>
      <c r="K69" s="25">
        <v>48376</v>
      </c>
      <c r="L69" s="25">
        <v>52569</v>
      </c>
    </row>
    <row r="70" spans="2:12" s="24" customFormat="1" x14ac:dyDescent="0.2">
      <c r="B70" s="7" t="s">
        <v>110</v>
      </c>
      <c r="C70" s="25">
        <v>28048</v>
      </c>
      <c r="D70" s="25">
        <v>31583</v>
      </c>
      <c r="E70" s="25">
        <v>30811</v>
      </c>
      <c r="F70" s="25">
        <v>64632</v>
      </c>
      <c r="G70" s="25">
        <v>48396</v>
      </c>
      <c r="H70" s="25">
        <v>88706</v>
      </c>
      <c r="I70" s="25">
        <v>36399</v>
      </c>
      <c r="J70" s="25">
        <f>SUM(J72:J75)</f>
        <v>38643</v>
      </c>
      <c r="K70" s="25">
        <f>SUM(K72:K75)</f>
        <v>48376</v>
      </c>
      <c r="L70" s="25">
        <f>SUM(L72:L75)</f>
        <v>52569</v>
      </c>
    </row>
    <row r="71" spans="2:12" s="24" customFormat="1" x14ac:dyDescent="0.2">
      <c r="B71" s="10" t="s">
        <v>105</v>
      </c>
      <c r="C71" s="25">
        <v>24109</v>
      </c>
      <c r="D71" s="25">
        <v>28673</v>
      </c>
      <c r="E71" s="25">
        <v>27749</v>
      </c>
      <c r="F71" s="25">
        <v>61151</v>
      </c>
      <c r="G71" s="25">
        <v>44714</v>
      </c>
      <c r="H71" s="25">
        <v>85319</v>
      </c>
      <c r="I71" s="25">
        <v>32260</v>
      </c>
      <c r="J71" s="25">
        <v>34268</v>
      </c>
      <c r="K71" s="25">
        <v>44333</v>
      </c>
      <c r="L71" s="25">
        <v>47719</v>
      </c>
    </row>
    <row r="72" spans="2:12" x14ac:dyDescent="0.2">
      <c r="B72" s="11" t="s">
        <v>58</v>
      </c>
      <c r="C72" s="23">
        <v>23581</v>
      </c>
      <c r="D72" s="23">
        <v>25460</v>
      </c>
      <c r="E72" s="23">
        <v>27749</v>
      </c>
      <c r="F72" s="23">
        <v>61151</v>
      </c>
      <c r="G72" s="23">
        <v>44714</v>
      </c>
      <c r="H72" s="23">
        <v>85319</v>
      </c>
      <c r="I72" s="23">
        <v>32260</v>
      </c>
      <c r="J72" s="23">
        <v>34268</v>
      </c>
      <c r="K72" s="23">
        <v>44333</v>
      </c>
      <c r="L72" s="23">
        <v>47719</v>
      </c>
    </row>
    <row r="73" spans="2:12" x14ac:dyDescent="0.2">
      <c r="B73" s="12" t="s">
        <v>106</v>
      </c>
      <c r="C73" s="23">
        <v>528</v>
      </c>
      <c r="D73" s="23">
        <v>3213</v>
      </c>
      <c r="E73" s="23" t="s">
        <v>55</v>
      </c>
      <c r="F73" s="23" t="s">
        <v>55</v>
      </c>
      <c r="G73" s="23" t="s">
        <v>55</v>
      </c>
      <c r="H73" s="23" t="s">
        <v>55</v>
      </c>
      <c r="I73" s="23" t="s">
        <v>55</v>
      </c>
      <c r="J73" s="23" t="s">
        <v>55</v>
      </c>
      <c r="K73" s="23" t="s">
        <v>55</v>
      </c>
      <c r="L73" s="23" t="s">
        <v>55</v>
      </c>
    </row>
    <row r="74" spans="2:12" x14ac:dyDescent="0.2">
      <c r="B74" s="9" t="s">
        <v>107</v>
      </c>
      <c r="C74" s="23">
        <v>3939</v>
      </c>
      <c r="D74" s="23">
        <v>2910</v>
      </c>
      <c r="E74" s="23">
        <v>2612</v>
      </c>
      <c r="F74" s="23">
        <v>3024</v>
      </c>
      <c r="G74" s="23">
        <v>3276</v>
      </c>
      <c r="H74" s="23">
        <v>2865</v>
      </c>
      <c r="I74" s="23">
        <v>3551</v>
      </c>
      <c r="J74" s="23">
        <v>3754</v>
      </c>
      <c r="K74" s="23">
        <v>3396</v>
      </c>
      <c r="L74" s="23">
        <v>4158</v>
      </c>
    </row>
    <row r="75" spans="2:12" x14ac:dyDescent="0.2">
      <c r="B75" s="8" t="s">
        <v>111</v>
      </c>
      <c r="C75" s="23" t="s">
        <v>55</v>
      </c>
      <c r="D75" s="23" t="s">
        <v>55</v>
      </c>
      <c r="E75" s="23">
        <v>450</v>
      </c>
      <c r="F75" s="23">
        <v>457</v>
      </c>
      <c r="G75" s="23">
        <v>406</v>
      </c>
      <c r="H75" s="23">
        <v>522</v>
      </c>
      <c r="I75" s="23">
        <v>588</v>
      </c>
      <c r="J75" s="23">
        <v>621</v>
      </c>
      <c r="K75" s="23">
        <v>647</v>
      </c>
      <c r="L75" s="23">
        <v>692</v>
      </c>
    </row>
    <row r="76" spans="2:12" s="24" customFormat="1" x14ac:dyDescent="0.2">
      <c r="B76" s="15" t="s">
        <v>112</v>
      </c>
      <c r="C76" s="25"/>
      <c r="D76" s="25"/>
      <c r="E76" s="25"/>
      <c r="F76" s="25"/>
      <c r="G76" s="25"/>
      <c r="H76" s="25"/>
      <c r="I76" s="25"/>
      <c r="J76" s="25"/>
    </row>
    <row r="77" spans="2:12" s="24" customFormat="1" x14ac:dyDescent="0.2">
      <c r="B77" s="16" t="s">
        <v>113</v>
      </c>
      <c r="C77" s="25"/>
      <c r="D77" s="25"/>
      <c r="E77" s="25"/>
      <c r="F77" s="25"/>
      <c r="G77" s="25"/>
      <c r="H77" s="25"/>
      <c r="I77" s="25"/>
      <c r="J77" s="25"/>
    </row>
    <row r="78" spans="2:12" x14ac:dyDescent="0.2">
      <c r="B78" s="9" t="s">
        <v>72</v>
      </c>
      <c r="C78" s="23" t="s">
        <v>55</v>
      </c>
      <c r="D78" s="23" t="s">
        <v>55</v>
      </c>
      <c r="E78" s="23" t="s">
        <v>55</v>
      </c>
      <c r="F78" s="23" t="s">
        <v>55</v>
      </c>
      <c r="G78" s="23" t="s">
        <v>55</v>
      </c>
      <c r="H78" s="23" t="s">
        <v>55</v>
      </c>
      <c r="I78" s="23" t="s">
        <v>55</v>
      </c>
      <c r="J78" s="23" t="s">
        <v>55</v>
      </c>
      <c r="K78" s="23" t="s">
        <v>55</v>
      </c>
      <c r="L78" s="23" t="s">
        <v>55</v>
      </c>
    </row>
    <row r="79" spans="2:12" x14ac:dyDescent="0.2">
      <c r="B79" s="8" t="s">
        <v>114</v>
      </c>
      <c r="C79" s="23" t="s">
        <v>55</v>
      </c>
      <c r="D79" s="23" t="s">
        <v>55</v>
      </c>
      <c r="E79" s="23" t="s">
        <v>55</v>
      </c>
      <c r="F79" s="23" t="s">
        <v>55</v>
      </c>
      <c r="G79" s="23" t="s">
        <v>55</v>
      </c>
      <c r="H79" s="23" t="s">
        <v>55</v>
      </c>
      <c r="I79" s="23" t="s">
        <v>55</v>
      </c>
      <c r="J79" s="23" t="s">
        <v>55</v>
      </c>
      <c r="K79" s="23" t="s">
        <v>55</v>
      </c>
      <c r="L79" s="23" t="s">
        <v>55</v>
      </c>
    </row>
    <row r="80" spans="2:12" x14ac:dyDescent="0.2">
      <c r="B80" s="9" t="s">
        <v>115</v>
      </c>
      <c r="C80" s="23" t="s">
        <v>55</v>
      </c>
      <c r="D80" s="23" t="s">
        <v>55</v>
      </c>
      <c r="E80" s="23" t="s">
        <v>55</v>
      </c>
      <c r="F80" s="23" t="s">
        <v>55</v>
      </c>
      <c r="G80" s="23" t="s">
        <v>55</v>
      </c>
      <c r="H80" s="23" t="s">
        <v>55</v>
      </c>
      <c r="I80" s="23" t="s">
        <v>55</v>
      </c>
      <c r="J80" s="23" t="s">
        <v>55</v>
      </c>
      <c r="K80" s="23" t="s">
        <v>55</v>
      </c>
      <c r="L80" s="23" t="s">
        <v>55</v>
      </c>
    </row>
    <row r="81" spans="2:12" x14ac:dyDescent="0.2">
      <c r="B81" s="8" t="s">
        <v>116</v>
      </c>
      <c r="C81" s="23" t="s">
        <v>55</v>
      </c>
      <c r="D81" s="23" t="s">
        <v>55</v>
      </c>
      <c r="E81" s="23" t="s">
        <v>55</v>
      </c>
      <c r="F81" s="23" t="s">
        <v>55</v>
      </c>
      <c r="G81" s="23" t="s">
        <v>55</v>
      </c>
      <c r="H81" s="23" t="s">
        <v>55</v>
      </c>
      <c r="I81" s="23" t="s">
        <v>55</v>
      </c>
      <c r="J81" s="23" t="s">
        <v>55</v>
      </c>
      <c r="K81" s="23" t="s">
        <v>55</v>
      </c>
      <c r="L81" s="23" t="s">
        <v>55</v>
      </c>
    </row>
    <row r="82" spans="2:12" s="24" customFormat="1" x14ac:dyDescent="0.2">
      <c r="B82" s="7" t="s">
        <v>117</v>
      </c>
      <c r="C82" s="25"/>
      <c r="D82" s="25"/>
      <c r="E82" s="25"/>
      <c r="F82" s="25"/>
      <c r="G82" s="25"/>
      <c r="H82" s="25"/>
      <c r="I82" s="25"/>
      <c r="J82" s="23" t="s">
        <v>55</v>
      </c>
      <c r="K82" s="23" t="s">
        <v>55</v>
      </c>
      <c r="L82" s="23" t="s">
        <v>55</v>
      </c>
    </row>
    <row r="83" spans="2:12" x14ac:dyDescent="0.2">
      <c r="B83" s="8" t="s">
        <v>118</v>
      </c>
      <c r="C83" s="23" t="s">
        <v>55</v>
      </c>
      <c r="D83" s="23" t="s">
        <v>55</v>
      </c>
      <c r="E83" s="23" t="s">
        <v>55</v>
      </c>
      <c r="F83" s="23" t="s">
        <v>55</v>
      </c>
      <c r="G83" s="23" t="s">
        <v>55</v>
      </c>
      <c r="H83" s="23" t="s">
        <v>55</v>
      </c>
      <c r="I83" s="23" t="s">
        <v>55</v>
      </c>
      <c r="J83" s="23" t="s">
        <v>55</v>
      </c>
      <c r="K83" s="23" t="s">
        <v>55</v>
      </c>
      <c r="L83" s="23" t="s">
        <v>55</v>
      </c>
    </row>
    <row r="84" spans="2:12" x14ac:dyDescent="0.2">
      <c r="B84" s="9" t="s">
        <v>119</v>
      </c>
      <c r="C84" s="23" t="s">
        <v>55</v>
      </c>
      <c r="D84" s="23" t="s">
        <v>55</v>
      </c>
      <c r="E84" s="23" t="s">
        <v>55</v>
      </c>
      <c r="F84" s="23" t="s">
        <v>55</v>
      </c>
      <c r="G84" s="23" t="s">
        <v>55</v>
      </c>
      <c r="H84" s="23" t="s">
        <v>55</v>
      </c>
      <c r="I84" s="23" t="s">
        <v>55</v>
      </c>
      <c r="J84" s="23" t="s">
        <v>55</v>
      </c>
      <c r="K84" s="23" t="s">
        <v>55</v>
      </c>
      <c r="L84" s="23" t="s">
        <v>55</v>
      </c>
    </row>
    <row r="85" spans="2:12" x14ac:dyDescent="0.2">
      <c r="B85" s="20" t="s">
        <v>120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9CD7-1D92-744E-B4BE-12100DFB8558}">
  <dimension ref="B1:L13"/>
  <sheetViews>
    <sheetView showGridLines="0" workbookViewId="0">
      <selection activeCell="B5" sqref="B5"/>
    </sheetView>
  </sheetViews>
  <sheetFormatPr baseColWidth="10" defaultRowHeight="15" x14ac:dyDescent="0.2"/>
  <cols>
    <col min="1" max="1" width="2" customWidth="1"/>
    <col min="2" max="2" width="48.83203125" bestFit="1" customWidth="1"/>
  </cols>
  <sheetData>
    <row r="1" spans="2:12" x14ac:dyDescent="0.2">
      <c r="B1" s="1" t="s">
        <v>0</v>
      </c>
    </row>
    <row r="2" spans="2:12" x14ac:dyDescent="0.2">
      <c r="B2" s="2"/>
    </row>
    <row r="3" spans="2:12" x14ac:dyDescent="0.2">
      <c r="B3" s="3"/>
    </row>
    <row r="4" spans="2:12" x14ac:dyDescent="0.2">
      <c r="B4" s="4"/>
    </row>
    <row r="5" spans="2:12" x14ac:dyDescent="0.2">
      <c r="B5" s="5" t="s">
        <v>1</v>
      </c>
      <c r="C5" s="21">
        <v>42735</v>
      </c>
      <c r="D5" s="21">
        <f>C5+365</f>
        <v>43100</v>
      </c>
      <c r="E5" s="21">
        <f t="shared" ref="E5:L5" si="0">D5+365</f>
        <v>43465</v>
      </c>
      <c r="F5" s="21">
        <f t="shared" si="0"/>
        <v>43830</v>
      </c>
      <c r="G5" s="21">
        <f>F5+366</f>
        <v>44196</v>
      </c>
      <c r="H5" s="21">
        <f t="shared" si="0"/>
        <v>44561</v>
      </c>
      <c r="I5" s="21">
        <f t="shared" si="0"/>
        <v>44926</v>
      </c>
      <c r="J5" s="21">
        <f t="shared" si="0"/>
        <v>45291</v>
      </c>
      <c r="K5" s="21">
        <f>J5+366</f>
        <v>45657</v>
      </c>
      <c r="L5" s="21">
        <f t="shared" si="0"/>
        <v>46022</v>
      </c>
    </row>
    <row r="6" spans="2:12" x14ac:dyDescent="0.2">
      <c r="B6" s="5" t="s">
        <v>2</v>
      </c>
    </row>
    <row r="7" spans="2:12" x14ac:dyDescent="0.2">
      <c r="B7" s="5"/>
    </row>
    <row r="8" spans="2:12" x14ac:dyDescent="0.2">
      <c r="B8" s="5"/>
    </row>
    <row r="9" spans="2:12" x14ac:dyDescent="0.2">
      <c r="B9" t="s">
        <v>194</v>
      </c>
      <c r="C9" s="23">
        <v>23581</v>
      </c>
      <c r="D9" s="23">
        <v>25460</v>
      </c>
      <c r="E9" s="23">
        <v>27749</v>
      </c>
      <c r="F9" s="23">
        <v>61151</v>
      </c>
      <c r="G9" s="23">
        <v>44714</v>
      </c>
      <c r="H9" s="23">
        <v>85319</v>
      </c>
      <c r="I9" s="23">
        <v>32260</v>
      </c>
      <c r="J9" s="23">
        <v>34268</v>
      </c>
      <c r="K9" s="23">
        <v>44333</v>
      </c>
      <c r="L9" s="23">
        <v>47719</v>
      </c>
    </row>
    <row r="10" spans="2:12" x14ac:dyDescent="0.2">
      <c r="B10" t="s">
        <v>195</v>
      </c>
      <c r="C10" s="23">
        <v>47338</v>
      </c>
      <c r="D10" s="23">
        <v>78515</v>
      </c>
      <c r="E10" s="23">
        <v>81506</v>
      </c>
      <c r="F10" s="23">
        <v>63822</v>
      </c>
      <c r="G10" s="23">
        <v>90300</v>
      </c>
      <c r="H10" s="23">
        <v>58535</v>
      </c>
      <c r="I10" s="23">
        <v>92774</v>
      </c>
      <c r="J10" s="23">
        <v>129619</v>
      </c>
      <c r="K10" s="23">
        <v>286272</v>
      </c>
      <c r="L10" s="23">
        <v>321434</v>
      </c>
    </row>
    <row r="11" spans="2:12" x14ac:dyDescent="0.2">
      <c r="B11" t="s">
        <v>196</v>
      </c>
      <c r="C11" s="23">
        <v>23432</v>
      </c>
      <c r="D11" s="23">
        <v>21353</v>
      </c>
      <c r="E11" s="23">
        <v>19898</v>
      </c>
      <c r="F11" s="23">
        <v>18685</v>
      </c>
      <c r="G11" s="23">
        <v>20410</v>
      </c>
      <c r="H11" s="23">
        <v>16434</v>
      </c>
      <c r="I11" s="23">
        <v>25128</v>
      </c>
      <c r="J11" s="23">
        <v>23758</v>
      </c>
      <c r="K11" s="23">
        <v>15364</v>
      </c>
      <c r="L11" s="23">
        <v>17816</v>
      </c>
    </row>
    <row r="12" spans="2:12" x14ac:dyDescent="0.2">
      <c r="B12" t="s">
        <v>197</v>
      </c>
      <c r="C12" s="23">
        <v>134835</v>
      </c>
      <c r="D12" s="23">
        <v>164026</v>
      </c>
      <c r="E12" s="23">
        <v>172757</v>
      </c>
      <c r="F12" s="23">
        <v>258027</v>
      </c>
      <c r="G12" s="23">
        <v>281170</v>
      </c>
      <c r="H12" s="23">
        <v>350719</v>
      </c>
      <c r="I12" s="23">
        <v>308793</v>
      </c>
      <c r="J12" s="23">
        <v>353842</v>
      </c>
      <c r="K12" s="23">
        <v>271588</v>
      </c>
      <c r="L12" s="23">
        <v>297778</v>
      </c>
    </row>
    <row r="13" spans="2:12" x14ac:dyDescent="0.2">
      <c r="B13" t="s">
        <v>198</v>
      </c>
      <c r="C13" s="23">
        <v>15345</v>
      </c>
      <c r="D13" s="23">
        <v>17635</v>
      </c>
      <c r="E13" s="23">
        <v>17325</v>
      </c>
      <c r="F13" s="23">
        <v>17505</v>
      </c>
      <c r="G13" s="23">
        <v>17303</v>
      </c>
      <c r="H13" s="23">
        <v>16045</v>
      </c>
      <c r="I13" s="23">
        <v>28050</v>
      </c>
      <c r="J13" s="23">
        <v>29066</v>
      </c>
      <c r="K13" s="23">
        <v>31134</v>
      </c>
      <c r="L13" s="23">
        <v>19978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DCF</vt:lpstr>
      <vt:lpstr>WACC</vt:lpstr>
      <vt:lpstr>PP&amp;E_D&amp;A </vt:lpstr>
      <vt:lpstr>IS - Annual</vt:lpstr>
      <vt:lpstr>CFS</vt:lpstr>
      <vt:lpstr>Historical Equity Holding</vt:lpstr>
      <vt:lpstr>Energy_cost</vt:lpstr>
      <vt:lpstr>Energy_switch</vt:lpstr>
      <vt:lpstr>Insur_cost</vt:lpstr>
      <vt:lpstr>Insurance_Switch</vt:lpstr>
      <vt:lpstr>Interest_switch</vt:lpstr>
      <vt:lpstr>DCF!Print_Area</vt:lpstr>
      <vt:lpstr>TGR</vt:lpstr>
      <vt:lpstr>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Rawat, Raghav</dc:creator>
  <cp:lastModifiedBy>Rawat, Raghav</cp:lastModifiedBy>
  <dcterms:created xsi:type="dcterms:W3CDTF">2026-06-15T06:57:52Z</dcterms:created>
  <dcterms:modified xsi:type="dcterms:W3CDTF">2026-08-11T07:24:12Z</dcterms:modified>
</cp:coreProperties>
</file>